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Pushkalas\AppData\Local\Microsoft\Windows\INetCache\Content.Outlook\1OHD80AW\"/>
    </mc:Choice>
  </mc:AlternateContent>
  <xr:revisionPtr revIDLastSave="0" documentId="13_ncr:1_{E89D62D9-D806-4499-9BDD-D16A0CF7F69B}" xr6:coauthVersionLast="47" xr6:coauthVersionMax="47" xr10:uidLastSave="{00000000-0000-0000-0000-000000000000}"/>
  <bookViews>
    <workbookView xWindow="-120" yWindow="-120" windowWidth="24240" windowHeight="13020" activeTab="3" xr2:uid="{5DE67798-D909-4668-9561-C7F1830E5EB4}"/>
  </bookViews>
  <sheets>
    <sheet name="Multi Year – Hybrid Fees Model" sheetId="1" r:id="rId1"/>
    <sheet name="1 year Fixed Fee Model" sheetId="2" r:id="rId2"/>
    <sheet name="1 year Variable Fee Model " sheetId="3" r:id="rId3"/>
    <sheet name="1 year Hybrid Fee Mode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 l="1"/>
  <c r="H15" i="1"/>
  <c r="F15" i="1"/>
  <c r="D15" i="1"/>
  <c r="B39" i="4"/>
  <c r="B40" i="4" s="1"/>
  <c r="B41" i="4" s="1"/>
  <c r="B42" i="4" s="1"/>
  <c r="B43" i="4" s="1"/>
  <c r="B44" i="4" s="1"/>
  <c r="B45" i="4" s="1"/>
  <c r="B46" i="4" s="1"/>
  <c r="B47" i="4" s="1"/>
  <c r="B48" i="4" s="1"/>
  <c r="J24" i="4"/>
  <c r="H24" i="4"/>
  <c r="H25" i="4" s="1"/>
  <c r="J13" i="4"/>
  <c r="J14" i="4" s="1"/>
  <c r="H13" i="4"/>
  <c r="H14" i="4" s="1"/>
  <c r="J12" i="4"/>
  <c r="H12" i="4"/>
  <c r="F12" i="4"/>
  <c r="F24" i="4" s="1"/>
  <c r="B39" i="3"/>
  <c r="B40" i="3" s="1"/>
  <c r="B41" i="3" s="1"/>
  <c r="B42" i="3" s="1"/>
  <c r="B43" i="3" s="1"/>
  <c r="B44" i="3" s="1"/>
  <c r="B45" i="3" s="1"/>
  <c r="B46" i="3" s="1"/>
  <c r="B47" i="3" s="1"/>
  <c r="B48" i="3" s="1"/>
  <c r="J24" i="3"/>
  <c r="H24" i="3"/>
  <c r="F24" i="3"/>
  <c r="J13" i="3"/>
  <c r="J14" i="3" s="1"/>
  <c r="H13" i="3"/>
  <c r="H14" i="3" s="1"/>
  <c r="F13" i="3"/>
  <c r="F14" i="3" s="1"/>
  <c r="J12" i="3"/>
  <c r="H12" i="3"/>
  <c r="H16" i="3" s="1"/>
  <c r="F12" i="3"/>
  <c r="F16" i="3" s="1"/>
  <c r="B26" i="2"/>
  <c r="B27" i="2" s="1"/>
  <c r="B28" i="2" s="1"/>
  <c r="B29" i="2" s="1"/>
  <c r="B30" i="2" s="1"/>
  <c r="B31" i="2" s="1"/>
  <c r="J10" i="2"/>
  <c r="H10" i="2"/>
  <c r="F10" i="2"/>
  <c r="J16" i="4" l="1"/>
  <c r="F25" i="4"/>
  <c r="H16" i="4"/>
  <c r="J25" i="4"/>
  <c r="F13" i="4"/>
  <c r="F14" i="4" s="1"/>
  <c r="F18" i="3"/>
  <c r="F19" i="3"/>
  <c r="F20" i="3" s="1"/>
  <c r="H18" i="3"/>
  <c r="H19" i="3"/>
  <c r="H20" i="3" s="1"/>
  <c r="J16" i="3"/>
  <c r="H25" i="3"/>
  <c r="J25" i="3"/>
  <c r="F25" i="3"/>
  <c r="F14" i="2"/>
  <c r="F11" i="2"/>
  <c r="H11" i="2"/>
  <c r="H12" i="2" s="1"/>
  <c r="J11" i="2"/>
  <c r="J12" i="2" s="1"/>
  <c r="F12" i="2"/>
  <c r="F16" i="4" l="1"/>
  <c r="H18" i="4"/>
  <c r="H19" i="4"/>
  <c r="H20" i="4" s="1"/>
  <c r="J18" i="4"/>
  <c r="J19" i="4"/>
  <c r="J20" i="4"/>
  <c r="J18" i="3"/>
  <c r="J19" i="3"/>
  <c r="H21" i="3"/>
  <c r="H23" i="3" s="1"/>
  <c r="F21" i="3"/>
  <c r="F23" i="3" s="1"/>
  <c r="H14" i="2"/>
  <c r="J14" i="2"/>
  <c r="F17" i="2"/>
  <c r="F16" i="2"/>
  <c r="J21" i="4" l="1"/>
  <c r="J23" i="4" s="1"/>
  <c r="H21" i="4"/>
  <c r="H23" i="4" s="1"/>
  <c r="F19" i="4"/>
  <c r="F18" i="4"/>
  <c r="F35" i="3"/>
  <c r="F26" i="3"/>
  <c r="F28" i="3" s="1"/>
  <c r="F29" i="3" s="1"/>
  <c r="F31" i="3" s="1"/>
  <c r="H26" i="3"/>
  <c r="H28" i="3" s="1"/>
  <c r="H29" i="3" s="1"/>
  <c r="H31" i="3"/>
  <c r="H35" i="3"/>
  <c r="J20" i="3"/>
  <c r="J21" i="3" s="1"/>
  <c r="J23" i="3" s="1"/>
  <c r="F18" i="2"/>
  <c r="F19" i="2" s="1"/>
  <c r="F21" i="2" s="1"/>
  <c r="F22" i="2" s="1"/>
  <c r="J17" i="2"/>
  <c r="J16" i="2"/>
  <c r="H17" i="2"/>
  <c r="H16" i="2"/>
  <c r="F20" i="4" l="1"/>
  <c r="F21" i="4" s="1"/>
  <c r="F23" i="4" s="1"/>
  <c r="H35" i="4"/>
  <c r="H26" i="4"/>
  <c r="H28" i="4" s="1"/>
  <c r="H29" i="4" s="1"/>
  <c r="H31" i="4" s="1"/>
  <c r="J35" i="4"/>
  <c r="J26" i="4"/>
  <c r="J28" i="4" s="1"/>
  <c r="J29" i="4" s="1"/>
  <c r="J31" i="4" s="1"/>
  <c r="J26" i="3"/>
  <c r="J28" i="3" s="1"/>
  <c r="J29" i="3" s="1"/>
  <c r="J31" i="3" s="1"/>
  <c r="J35" i="3"/>
  <c r="F32" i="3"/>
  <c r="F34" i="3"/>
  <c r="H34" i="3"/>
  <c r="H32" i="3"/>
  <c r="H18" i="2"/>
  <c r="H19" i="2" s="1"/>
  <c r="H21" i="2" s="1"/>
  <c r="H22" i="2" s="1"/>
  <c r="J18" i="2"/>
  <c r="J19" i="2" s="1"/>
  <c r="J21" i="2" s="1"/>
  <c r="J22" i="2" s="1"/>
  <c r="J32" i="4" l="1"/>
  <c r="J34" i="4"/>
  <c r="H32" i="4"/>
  <c r="H34" i="4"/>
  <c r="F35" i="4"/>
  <c r="F26" i="4"/>
  <c r="F28" i="4" s="1"/>
  <c r="F29" i="4" s="1"/>
  <c r="F31" i="4"/>
  <c r="J32" i="3"/>
  <c r="J34" i="3"/>
  <c r="F32" i="4" l="1"/>
  <c r="F34" i="4"/>
  <c r="C16" i="1" l="1"/>
  <c r="C32" i="1" l="1"/>
  <c r="C17" i="1"/>
  <c r="C18" i="1" s="1"/>
  <c r="C19" i="1" l="1"/>
  <c r="C21" i="1" l="1"/>
  <c r="C22" i="1"/>
  <c r="C23" i="1" l="1"/>
  <c r="C24" i="1" s="1"/>
  <c r="E32" i="1" l="1"/>
  <c r="C25" i="1"/>
  <c r="C26" i="1" s="1"/>
  <c r="C27" i="1" s="1"/>
  <c r="C28" i="1" s="1"/>
  <c r="D29" i="1" s="1"/>
  <c r="D30" i="1" s="1"/>
  <c r="E16" i="1" l="1"/>
  <c r="D31" i="1"/>
  <c r="C3" i="1" l="1"/>
  <c r="E17" i="1"/>
  <c r="E18" i="1" s="1"/>
  <c r="E19" i="1" s="1"/>
  <c r="E22" i="1" l="1"/>
  <c r="E21" i="1"/>
  <c r="E23" i="1" l="1"/>
  <c r="E24" i="1" s="1"/>
  <c r="G32" i="1" l="1"/>
  <c r="E25" i="1"/>
  <c r="E26" i="1" s="1"/>
  <c r="E27" i="1" s="1"/>
  <c r="E28" i="1" s="1"/>
  <c r="F29" i="1"/>
  <c r="F30" i="1" s="1"/>
  <c r="G16" i="1" l="1"/>
  <c r="F31" i="1"/>
  <c r="D3" i="1" l="1"/>
  <c r="G17" i="1"/>
  <c r="G18" i="1" s="1"/>
  <c r="G19" i="1" s="1"/>
  <c r="G22" i="1" l="1"/>
  <c r="G21" i="1"/>
  <c r="G23" i="1" l="1"/>
  <c r="G24" i="1" s="1"/>
  <c r="I32" i="1" l="1"/>
  <c r="G25" i="1"/>
  <c r="G26" i="1" s="1"/>
  <c r="G27" i="1" s="1"/>
  <c r="G28" i="1" s="1"/>
  <c r="H29" i="1"/>
  <c r="H30" i="1" s="1"/>
  <c r="I16" i="1" l="1"/>
  <c r="H31" i="1"/>
  <c r="E3" i="1" l="1"/>
  <c r="I17" i="1"/>
  <c r="I18" i="1" s="1"/>
  <c r="I19" i="1" s="1"/>
  <c r="I22" i="1" l="1"/>
  <c r="I21" i="1"/>
  <c r="I23" i="1" l="1"/>
  <c r="I24" i="1" s="1"/>
  <c r="K32" i="1" l="1"/>
  <c r="I25" i="1"/>
  <c r="I26" i="1" s="1"/>
  <c r="I27" i="1" s="1"/>
  <c r="I28" i="1" s="1"/>
  <c r="J29" i="1"/>
  <c r="J30" i="1" s="1"/>
  <c r="J31" i="1" s="1"/>
</calcChain>
</file>

<file path=xl/sharedStrings.xml><?xml version="1.0" encoding="utf-8"?>
<sst xmlns="http://schemas.openxmlformats.org/spreadsheetml/2006/main" count="275" uniqueCount="133">
  <si>
    <t>Illustration - Computation of Performance fee by Portfolio Manager</t>
  </si>
  <si>
    <t>Particulars</t>
  </si>
  <si>
    <t>Year 1</t>
  </si>
  <si>
    <t>Year 2</t>
  </si>
  <si>
    <t>Year 3</t>
  </si>
  <si>
    <t>Year 4</t>
  </si>
  <si>
    <t>Initial Corpus</t>
  </si>
  <si>
    <t>Hurdle rate of return (A)</t>
  </si>
  <si>
    <t>Performance fee over hurdle rate (B)</t>
  </si>
  <si>
    <t>Fixed Fee (C)</t>
  </si>
  <si>
    <t>Brokerage p.a. (D)</t>
  </si>
  <si>
    <t>Other Expenses (E)</t>
  </si>
  <si>
    <t>Rate of return on the portfolio (I)</t>
  </si>
  <si>
    <t>Assumptions:
1. Performance linked fee and fixed management fee are calculated on an annual basis (i.e, performance period = 1 year)
2. All figures in the tables have been assumed for the purpose of illustration
3. Other expenses mentioned include Custody &amp; FA charges, RTA fees, Audit Fees, etc</t>
  </si>
  <si>
    <t>All amounts in Rs. &amp; all returns are pre-tax</t>
  </si>
  <si>
    <t>S.No.</t>
  </si>
  <si>
    <t>Year 5</t>
  </si>
  <si>
    <t>Amount in Rs.</t>
  </si>
  <si>
    <t>Gain / (Loss)</t>
  </si>
  <si>
    <t>Amount invested by client / Opening value</t>
  </si>
  <si>
    <t>Portfolio Returns duing the year (=I * 1)</t>
  </si>
  <si>
    <t>Gross Value of the Portfolio at the end of the year (1 +2)</t>
  </si>
  <si>
    <r>
      <t>Average assets under management</t>
    </r>
    <r>
      <rPr>
        <b/>
        <sz val="11"/>
        <color theme="1"/>
        <rFont val="Aptos Narrow"/>
        <family val="2"/>
        <scheme val="minor"/>
      </rPr>
      <t xml:space="preserve"> (=(3+1)/2</t>
    </r>
  </si>
  <si>
    <r>
      <rPr>
        <sz val="12"/>
        <rFont val="Calibri"/>
        <family val="2"/>
      </rPr>
      <t xml:space="preserve">Brokerage and Transaction cost @ 20bps  </t>
    </r>
    <r>
      <rPr>
        <b/>
        <sz val="12"/>
        <rFont val="Calibri"/>
        <family val="2"/>
      </rPr>
      <t>(=D * 4)</t>
    </r>
  </si>
  <si>
    <r>
      <rPr>
        <sz val="12"/>
        <rFont val="Calibri"/>
        <family val="2"/>
      </rPr>
      <t>Other Expenses</t>
    </r>
    <r>
      <rPr>
        <b/>
        <sz val="12"/>
        <rFont val="Calibri"/>
        <family val="2"/>
      </rPr>
      <t>(= E*4)</t>
    </r>
  </si>
  <si>
    <r>
      <t>Fixed Management Fee (</t>
    </r>
    <r>
      <rPr>
        <b/>
        <sz val="12"/>
        <rFont val="Calibri"/>
        <family val="2"/>
      </rPr>
      <t>= 4-5-6)*C)</t>
    </r>
  </si>
  <si>
    <t>Pre-performance fee closing value of portfolio (1+2-5-6-7)
Note : If this value exceeds the high water mark, only then shall performance fee be charged to the client</t>
  </si>
  <si>
    <r>
      <t xml:space="preserve">Returns realised by investor over hurdle rate </t>
    </r>
    <r>
      <rPr>
        <b/>
        <sz val="12"/>
        <rFont val="Calibri"/>
        <family val="2"/>
      </rPr>
      <t xml:space="preserve">(= 9-A, </t>
    </r>
    <r>
      <rPr>
        <sz val="12"/>
        <rFont val="Calibri"/>
        <family val="2"/>
      </rPr>
      <t>and in case of negative returns, it shall be zero)</t>
    </r>
  </si>
  <si>
    <r>
      <t xml:space="preserve">Performance fee levied by PM (in %)
</t>
    </r>
    <r>
      <rPr>
        <b/>
        <sz val="12"/>
        <rFont val="Calibri"/>
        <family val="2"/>
      </rPr>
      <t xml:space="preserve">(Perf. Fee = 10*B) </t>
    </r>
  </si>
  <si>
    <t>Amount of performance fee recovered by PM (high-watermark applicable) on Capital Amount (= 11*1)</t>
  </si>
  <si>
    <r>
      <rPr>
        <sz val="12"/>
        <rFont val="Calibri"/>
        <family val="2"/>
      </rPr>
      <t xml:space="preserve">Total Charges During the year </t>
    </r>
    <r>
      <rPr>
        <b/>
        <sz val="12"/>
        <rFont val="Calibri"/>
        <family val="2"/>
      </rPr>
      <t>(=5+6+7+12)</t>
    </r>
  </si>
  <si>
    <r>
      <t>Net Value of the portfolio at the end of year</t>
    </r>
    <r>
      <rPr>
        <b/>
        <sz val="12"/>
        <rFont val="Calibri"/>
        <family val="2"/>
      </rPr>
      <t xml:space="preserve"> (=3-13)</t>
    </r>
  </si>
  <si>
    <t>Overall Returns to investor in % (=(14-1)/1) *100</t>
  </si>
  <si>
    <t>High Water Mark for calculation of performance fee for the
performance period</t>
  </si>
  <si>
    <r>
      <t xml:space="preserve">Returns realised by investor (pre-performance fee) over High Water Mark 
</t>
    </r>
    <r>
      <rPr>
        <b/>
        <sz val="12"/>
        <rFont val="Calibri"/>
        <family val="2"/>
      </rPr>
      <t xml:space="preserve">(= (8-16)/16*100)
</t>
    </r>
    <r>
      <rPr>
        <sz val="12"/>
        <rFont val="Calibri"/>
        <family val="2"/>
      </rPr>
      <t>[For Year 1, returns over initial corpus would be considered]</t>
    </r>
  </si>
  <si>
    <t>Assumptions</t>
  </si>
  <si>
    <t>Capital Contribution (Rs.)</t>
  </si>
  <si>
    <t>a</t>
  </si>
  <si>
    <t>Management Fee (%age per annum)</t>
  </si>
  <si>
    <t>b</t>
  </si>
  <si>
    <t xml:space="preserve">Other Expenses </t>
  </si>
  <si>
    <t>c</t>
  </si>
  <si>
    <t>Brokerage and Transaction cost</t>
  </si>
  <si>
    <t>d</t>
  </si>
  <si>
    <t>Fixed Fee Illustraion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</si>
  <si>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</si>
  <si>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</si>
  <si>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</si>
  <si>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</si>
  <si>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</si>
  <si>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</si>
  <si>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</si>
  <si>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</si>
  <si>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</si>
  <si>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</si>
  <si>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</si>
  <si>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</si>
  <si>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</si>
  <si>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</si>
  <si>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</si>
  <si>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</si>
  <si>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</si>
  <si>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</si>
  <si>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</si>
  <si>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</si>
  <si>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</si>
  <si>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vi</t>
  </si>
  <si>
    <t>vi = (iv x d)</t>
  </si>
  <si>
    <t xml:space="preserve">Management Fees </t>
  </si>
  <si>
    <t>vii</t>
  </si>
  <si>
    <t>vii = (iv + v + vi) x b</t>
  </si>
  <si>
    <t xml:space="preserve">Total charges during the year </t>
  </si>
  <si>
    <t>viii</t>
  </si>
  <si>
    <t>viii = v + vi + vii</t>
  </si>
  <si>
    <t xml:space="preserve">Net value of the Portfolio at the end of the year </t>
  </si>
  <si>
    <t>ix</t>
  </si>
  <si>
    <t>ix = iii + viii</t>
  </si>
  <si>
    <t xml:space="preserve">% Portfolio Return </t>
  </si>
  <si>
    <t>x</t>
  </si>
  <si>
    <t>x = ((ix - i) / i) %</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</si>
  <si>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</si>
  <si>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</si>
  <si>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</si>
  <si>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</si>
  <si>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</si>
  <si>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</si>
  <si>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</si>
  <si>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This is only a generic illustration, each portfolio manager can modify the illustration as per the terms and condition of their PMS agreement.</t>
  </si>
  <si>
    <t xml:space="preserve">Portfolio Managers are advised to also refer to the illustrations provided in Annexure 4A of Master Circular for Portfolio Managers dated June 07, 2024. </t>
  </si>
  <si>
    <t>Other Expenses (%age per annum)</t>
  </si>
  <si>
    <t>Performance (%age per annum)</t>
  </si>
  <si>
    <t>Hurdle Rate of Return (%age per annum)</t>
  </si>
  <si>
    <t>e</t>
  </si>
  <si>
    <t>f</t>
  </si>
  <si>
    <t>Hybrid Fee Illustration</t>
  </si>
  <si>
    <t xml:space="preserve">Daily Weighted Average assets under management </t>
  </si>
  <si>
    <t>vi= iv x f</t>
  </si>
  <si>
    <t>Total charges before Performance fee.</t>
  </si>
  <si>
    <t>Gross Value of the Portfolio before Performance fee</t>
  </si>
  <si>
    <t>High Water Mark Value (HWM) (Capital contributed for 1st year and second year onwards as defined in the PMS agreement.</t>
  </si>
  <si>
    <t>Hurdle Rate of return or as defined in the PMS agreement</t>
  </si>
  <si>
    <t>xi</t>
  </si>
  <si>
    <t>xi = i x e</t>
  </si>
  <si>
    <t>Gross Value of the Portfolio before Performance fee is greater than High Water Mark Value + Hurdle rate of return</t>
  </si>
  <si>
    <t>xii</t>
  </si>
  <si>
    <t>xii = ix &gt; (x+xi) then Yes else No P Fees</t>
  </si>
  <si>
    <r>
      <t xml:space="preserve">If </t>
    </r>
    <r>
      <rPr>
        <b/>
        <sz val="11"/>
        <color theme="1"/>
        <rFont val="Aptos Narrow"/>
        <family val="2"/>
        <scheme val="minor"/>
      </rPr>
      <t>Yes, proceed to performance fee calculation else 0 (zero) performance fee for the period)</t>
    </r>
  </si>
  <si>
    <t>Portfolio return subject of Performance Fee</t>
  </si>
  <si>
    <t>xiii</t>
  </si>
  <si>
    <t>xiii = ix - x - xi</t>
  </si>
  <si>
    <t>Performance fee</t>
  </si>
  <si>
    <t>xiv</t>
  </si>
  <si>
    <t>xiv = xiii x d</t>
  </si>
  <si>
    <t>Net value of the Portfolio at the end of the year after all fees and expenses</t>
  </si>
  <si>
    <t>xv</t>
  </si>
  <si>
    <t>xv = ix + xiv</t>
  </si>
  <si>
    <t>xvi</t>
  </si>
  <si>
    <t>xvi = ((xv - i) / i) %</t>
  </si>
  <si>
    <r>
      <t>High Water Mark to be carried forward for next year.</t>
    </r>
    <r>
      <rPr>
        <b/>
        <sz val="11"/>
        <color theme="1"/>
        <rFont val="Aptos Narrow"/>
        <family val="2"/>
        <scheme val="minor"/>
      </rPr>
      <t xml:space="preserve"> When performance fee is charged from the portfolio itself.</t>
    </r>
  </si>
  <si>
    <t>xvii</t>
  </si>
  <si>
    <t>xvii = Max (x , xv)</t>
  </si>
  <si>
    <r>
      <t xml:space="preserve">High Water Mark to becarried forward for next year. </t>
    </r>
    <r>
      <rPr>
        <b/>
        <sz val="11"/>
        <color theme="1"/>
        <rFont val="Aptos Narrow"/>
        <family val="2"/>
        <scheme val="minor"/>
      </rPr>
      <t>When performance fee is paid separately by the investor to the PM</t>
    </r>
  </si>
  <si>
    <t>xvii = Max (ix , x)</t>
  </si>
  <si>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</si>
  <si>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</si>
  <si>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</si>
  <si>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</si>
  <si>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</si>
  <si>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</si>
  <si>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r>
      <t>High Water Mark to be carried forward for next year.</t>
    </r>
    <r>
      <rPr>
        <b/>
        <sz val="11"/>
        <color theme="1"/>
        <rFont val="Aptos Narrow"/>
        <family val="2"/>
        <scheme val="minor"/>
      </rPr>
      <t xml:space="preserve"> When performance fee is charged from the portfolio itself</t>
    </r>
    <r>
      <rPr>
        <sz val="11"/>
        <color theme="1"/>
        <rFont val="Aptos Narrow"/>
        <family val="2"/>
        <scheme val="minor"/>
      </rPr>
      <t>.</t>
    </r>
  </si>
  <si>
    <r>
      <t xml:space="preserve">High Water Mark to be carried forward for next year. </t>
    </r>
    <r>
      <rPr>
        <b/>
        <sz val="11"/>
        <color theme="1"/>
        <rFont val="Aptos Narrow"/>
        <family val="2"/>
        <scheme val="minor"/>
      </rPr>
      <t>When performance fee is paid separately by the investor to the PM</t>
    </r>
    <r>
      <rPr>
        <sz val="11"/>
        <color theme="1"/>
        <rFont val="Aptos Narrow"/>
        <family val="2"/>
        <scheme val="minor"/>
      </rPr>
      <t>.</t>
    </r>
  </si>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</sst>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0_ ;[Red]\-#,##0\ "/>
    <numFmt numFmtId="167" formatCode="#,##0.00_ ;[Red]\-#,##0.00\ "/>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u/>
      <sz val="12"/>
      <name val="Calibri"/>
      <family val="2"/>
    </font>
    <font>
      <sz val="12"/>
      <color rgb="FF000000"/>
      <name val="Calibri"/>
      <family val="2"/>
    </font>
    <font>
      <b/>
      <sz val="12"/>
      <name val="Calibri"/>
      <family val="2"/>
    </font>
    <font>
      <sz val="12"/>
      <name val="Calibri"/>
      <family val="2"/>
    </font>
    <font>
      <b/>
      <sz val="11"/>
      <color rgb="FF000000"/>
      <name val="Calibri"/>
      <family val="2"/>
    </font>
    <font>
      <b/>
      <sz val="12"/>
      <color rgb="FF000000"/>
      <name val="Calibri"/>
      <family val="2"/>
    </font>
  </fonts>
  <fills count="3">
    <fill>
      <patternFill patternType="none"/>
    </fill>
    <fill>
      <patternFill patternType="gray125"/>
    </fill>
    <fill>
      <patternFill patternType="solid">
        <fgColor rgb="FFFFFF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3" fillId="0" borderId="0" xfId="0" applyFont="1" applyAlignment="1">
      <alignment vertical="top" wrapText="1"/>
    </xf>
    <xf numFmtId="0" fontId="4" fillId="0" borderId="0" xfId="0" applyFont="1" applyAlignment="1">
      <alignment horizontal="left" vertical="top"/>
    </xf>
    <xf numFmtId="0" fontId="5" fillId="0" borderId="2" xfId="0" applyFont="1" applyBorder="1" applyAlignment="1">
      <alignment horizontal="center" vertical="top" wrapText="1"/>
    </xf>
    <xf numFmtId="0" fontId="5" fillId="0" borderId="2" xfId="0" applyFont="1" applyBorder="1" applyAlignment="1">
      <alignment horizontal="left" vertical="top" wrapText="1"/>
    </xf>
    <xf numFmtId="164" fontId="5" fillId="0" borderId="2" xfId="0" applyNumberFormat="1" applyFont="1" applyBorder="1" applyAlignment="1">
      <alignment horizontal="right" vertical="top" wrapText="1"/>
    </xf>
    <xf numFmtId="9" fontId="5" fillId="0" borderId="2" xfId="0" applyNumberFormat="1" applyFont="1" applyBorder="1" applyAlignment="1">
      <alignment horizontal="right" vertical="top" shrinkToFit="1"/>
    </xf>
    <xf numFmtId="165" fontId="5" fillId="0" borderId="2" xfId="0" applyNumberFormat="1" applyFont="1" applyBorder="1" applyAlignment="1">
      <alignment horizontal="right" vertical="top" shrinkToFit="1"/>
    </xf>
    <xf numFmtId="10" fontId="5" fillId="0" borderId="2" xfId="0" applyNumberFormat="1" applyFont="1" applyBorder="1" applyAlignment="1">
      <alignment horizontal="right" vertical="top" shrinkToFit="1"/>
    </xf>
    <xf numFmtId="0" fontId="5" fillId="0" borderId="2" xfId="0" applyFont="1" applyBorder="1" applyAlignment="1">
      <alignment horizontal="center" vertical="center" wrapText="1"/>
    </xf>
    <xf numFmtId="0" fontId="4" fillId="0" borderId="2" xfId="0" applyFont="1" applyBorder="1" applyAlignment="1">
      <alignment horizontal="left" wrapText="1"/>
    </xf>
    <xf numFmtId="0" fontId="7" fillId="0" borderId="2" xfId="0" applyFont="1" applyBorder="1" applyAlignment="1">
      <alignment horizontal="right" vertical="center"/>
    </xf>
    <xf numFmtId="9" fontId="5" fillId="0" borderId="2" xfId="0" applyNumberFormat="1" applyFont="1" applyBorder="1" applyAlignment="1">
      <alignment vertical="center" wrapText="1"/>
    </xf>
    <xf numFmtId="9" fontId="5" fillId="0" borderId="2" xfId="0" applyNumberFormat="1" applyFont="1" applyBorder="1" applyAlignment="1">
      <alignment horizontal="right" vertical="top" wrapText="1"/>
    </xf>
    <xf numFmtId="1" fontId="8" fillId="0" borderId="2" xfId="0" applyNumberFormat="1" applyFont="1" applyBorder="1" applyAlignment="1">
      <alignment horizontal="center" vertical="top" shrinkToFit="1"/>
    </xf>
    <xf numFmtId="0" fontId="4" fillId="0" borderId="2" xfId="0" applyFont="1" applyBorder="1" applyAlignment="1">
      <alignment horizontal="left" vertical="center" wrapText="1"/>
    </xf>
    <xf numFmtId="164" fontId="6" fillId="0" borderId="2" xfId="1" applyNumberFormat="1" applyFont="1" applyBorder="1" applyAlignment="1">
      <alignment horizontal="right" vertical="top" wrapText="1"/>
    </xf>
    <xf numFmtId="164" fontId="4" fillId="0" borderId="2" xfId="0" applyNumberFormat="1" applyFont="1" applyBorder="1" applyAlignment="1">
      <alignment horizontal="left" vertical="center" wrapText="1"/>
    </xf>
    <xf numFmtId="0" fontId="0" fillId="0" borderId="2" xfId="0" applyBorder="1" applyAlignment="1">
      <alignment vertical="center" wrapText="1"/>
    </xf>
    <xf numFmtId="0" fontId="6" fillId="0" borderId="2" xfId="0" applyFont="1" applyBorder="1" applyAlignment="1">
      <alignment horizontal="left" vertical="top" wrapText="1"/>
    </xf>
    <xf numFmtId="3" fontId="4" fillId="0" borderId="2" xfId="0" applyNumberFormat="1" applyFont="1" applyBorder="1" applyAlignment="1">
      <alignment horizontal="right" vertical="top" shrinkToFit="1"/>
    </xf>
    <xf numFmtId="1" fontId="8" fillId="0" borderId="2" xfId="0" applyNumberFormat="1" applyFont="1" applyBorder="1" applyAlignment="1">
      <alignment horizontal="center" vertical="center" shrinkToFit="1"/>
    </xf>
    <xf numFmtId="164" fontId="6" fillId="0" borderId="2" xfId="0" applyNumberFormat="1" applyFont="1" applyBorder="1" applyAlignment="1">
      <alignment horizontal="right" wrapText="1"/>
    </xf>
    <xf numFmtId="164" fontId="5" fillId="0" borderId="2" xfId="0" applyNumberFormat="1" applyFont="1" applyBorder="1" applyAlignment="1">
      <alignment horizontal="right" wrapText="1"/>
    </xf>
    <xf numFmtId="10" fontId="4" fillId="0" borderId="2" xfId="0" applyNumberFormat="1" applyFont="1" applyBorder="1" applyAlignment="1">
      <alignment horizontal="right" shrinkToFit="1"/>
    </xf>
    <xf numFmtId="10" fontId="4" fillId="0" borderId="0" xfId="0" applyNumberFormat="1" applyFont="1" applyAlignment="1">
      <alignment horizontal="left" vertical="top"/>
    </xf>
    <xf numFmtId="9" fontId="4" fillId="0" borderId="2" xfId="0" applyNumberFormat="1" applyFont="1" applyBorder="1" applyAlignment="1">
      <alignment horizontal="right" shrinkToFit="1"/>
    </xf>
    <xf numFmtId="3" fontId="5" fillId="0" borderId="2" xfId="0" applyNumberFormat="1" applyFont="1" applyBorder="1" applyAlignment="1">
      <alignment horizontal="right" wrapText="1"/>
    </xf>
    <xf numFmtId="0" fontId="6" fillId="0" borderId="2" xfId="0" applyFont="1" applyBorder="1" applyAlignment="1">
      <alignment horizontal="left" vertical="center" wrapText="1"/>
    </xf>
    <xf numFmtId="3" fontId="4" fillId="0" borderId="2" xfId="0" applyNumberFormat="1" applyFont="1" applyBorder="1" applyAlignment="1">
      <alignment horizontal="left" vertical="center" wrapText="1"/>
    </xf>
    <xf numFmtId="3" fontId="4"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164" fontId="6" fillId="0" borderId="2" xfId="0" applyNumberFormat="1" applyFont="1" applyBorder="1" applyAlignment="1">
      <alignment horizontal="right" vertical="center" wrapText="1"/>
    </xf>
    <xf numFmtId="164" fontId="6" fillId="0" borderId="2" xfId="0" applyNumberFormat="1" applyFont="1" applyBorder="1" applyAlignment="1">
      <alignment horizontal="right" vertical="top" wrapText="1"/>
    </xf>
    <xf numFmtId="10" fontId="8" fillId="0" borderId="2" xfId="0" applyNumberFormat="1" applyFont="1" applyBorder="1" applyAlignment="1">
      <alignment horizontal="right" vertical="top" shrinkToFit="1"/>
    </xf>
    <xf numFmtId="164" fontId="8" fillId="0" borderId="2" xfId="1" applyNumberFormat="1" applyFont="1" applyBorder="1" applyAlignment="1">
      <alignment horizontal="right" shrinkToFit="1"/>
    </xf>
    <xf numFmtId="164" fontId="4" fillId="0" borderId="0" xfId="0" applyNumberFormat="1" applyFont="1" applyAlignment="1">
      <alignment horizontal="left" vertical="top"/>
    </xf>
    <xf numFmtId="1" fontId="8" fillId="0" borderId="2" xfId="0" applyNumberFormat="1" applyFont="1" applyBorder="1" applyAlignment="1">
      <alignment horizontal="center" shrinkToFit="1"/>
    </xf>
    <xf numFmtId="0" fontId="5" fillId="0" borderId="2" xfId="0" applyFont="1" applyBorder="1" applyAlignment="1">
      <alignment horizontal="left" wrapText="1"/>
    </xf>
    <xf numFmtId="0" fontId="4" fillId="0" borderId="0" xfId="0" applyFont="1" applyAlignment="1">
      <alignment horizontal="left"/>
    </xf>
    <xf numFmtId="164" fontId="4" fillId="0" borderId="2" xfId="1" applyNumberFormat="1" applyFont="1" applyBorder="1" applyAlignment="1">
      <alignment horizontal="right" wrapText="1"/>
    </xf>
    <xf numFmtId="164" fontId="5" fillId="0" borderId="2" xfId="1" applyNumberFormat="1" applyFont="1" applyBorder="1" applyAlignment="1">
      <alignment horizontal="right" wrapText="1"/>
    </xf>
    <xf numFmtId="164" fontId="4" fillId="0" borderId="2" xfId="1" applyNumberFormat="1" applyFont="1" applyBorder="1" applyAlignment="1">
      <alignment horizontal="right" vertical="center" wrapText="1"/>
    </xf>
    <xf numFmtId="3" fontId="5" fillId="2" borderId="2" xfId="0" applyNumberFormat="1" applyFont="1" applyFill="1" applyBorder="1" applyAlignment="1">
      <alignment horizontal="right" vertical="top" wrapText="1"/>
    </xf>
    <xf numFmtId="164" fontId="5" fillId="0" borderId="2" xfId="1" applyNumberFormat="1" applyFont="1" applyBorder="1" applyAlignment="1">
      <alignment horizontal="right" vertical="top"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wrapText="1"/>
    </xf>
    <xf numFmtId="0" fontId="0" fillId="0" borderId="2" xfId="0" applyBorder="1" applyAlignment="1">
      <alignment horizontal="center" vertical="center" wrapText="1"/>
    </xf>
    <xf numFmtId="3" fontId="0" fillId="2" borderId="2" xfId="0" applyNumberFormat="1" applyFill="1" applyBorder="1" applyAlignment="1">
      <alignment vertical="center"/>
    </xf>
    <xf numFmtId="0" fontId="0" fillId="0" borderId="8" xfId="0" applyBorder="1" applyAlignment="1">
      <alignment vertical="center"/>
    </xf>
    <xf numFmtId="10" fontId="0" fillId="2" borderId="2" xfId="0" applyNumberFormat="1" applyFill="1" applyBorder="1" applyAlignment="1">
      <alignment vertical="center"/>
    </xf>
    <xf numFmtId="10" fontId="0" fillId="0" borderId="2" xfId="0" applyNumberFormat="1" applyBorder="1" applyAlignment="1">
      <alignment vertical="center"/>
    </xf>
    <xf numFmtId="10" fontId="0" fillId="0" borderId="0" xfId="0" applyNumberFormat="1" applyAlignment="1">
      <alignment vertical="center"/>
    </xf>
    <xf numFmtId="0" fontId="2" fillId="0" borderId="11" xfId="0" applyFont="1" applyBorder="1" applyAlignment="1">
      <alignment horizontal="right" vertical="center"/>
    </xf>
    <xf numFmtId="9" fontId="2" fillId="0" borderId="11" xfId="0" applyNumberFormat="1" applyFont="1" applyBorder="1" applyAlignment="1">
      <alignment horizontal="left" vertical="center"/>
    </xf>
    <xf numFmtId="9" fontId="2" fillId="0" borderId="12" xfId="0" applyNumberFormat="1" applyFont="1" applyBorder="1" applyAlignment="1">
      <alignment horizontal="left" vertical="center"/>
    </xf>
    <xf numFmtId="0" fontId="0" fillId="0" borderId="2" xfId="0" quotePrefix="1" applyBorder="1" applyAlignment="1">
      <alignment vertical="center" wrapText="1"/>
    </xf>
    <xf numFmtId="0" fontId="0" fillId="0" borderId="7" xfId="0" applyBorder="1" applyAlignment="1">
      <alignment horizontal="center" vertical="center" wrapText="1"/>
    </xf>
    <xf numFmtId="0" fontId="0" fillId="0" borderId="2" xfId="0" applyBorder="1" applyAlignment="1">
      <alignment vertical="center"/>
    </xf>
    <xf numFmtId="0" fontId="0" fillId="0" borderId="10" xfId="0" applyBorder="1" applyAlignment="1">
      <alignment vertical="center"/>
    </xf>
    <xf numFmtId="0" fontId="0" fillId="0" borderId="13" xfId="0" applyBorder="1" applyAlignment="1">
      <alignment horizontal="center" vertical="center"/>
    </xf>
    <xf numFmtId="0" fontId="2" fillId="0" borderId="17" xfId="0" applyFont="1" applyBorder="1" applyAlignment="1">
      <alignment horizontal="center" vertical="center"/>
    </xf>
    <xf numFmtId="0" fontId="0" fillId="0" borderId="0" xfId="0" applyAlignment="1">
      <alignment horizontal="left" vertical="center"/>
    </xf>
    <xf numFmtId="0" fontId="0" fillId="0" borderId="24" xfId="0" applyBorder="1" applyAlignment="1">
      <alignment vertical="center" wrapText="1"/>
    </xf>
    <xf numFmtId="0" fontId="2" fillId="0" borderId="2" xfId="0" applyFont="1" applyBorder="1" applyAlignment="1">
      <alignment horizontal="right" vertical="center"/>
    </xf>
    <xf numFmtId="9" fontId="2" fillId="0" borderId="2" xfId="0" applyNumberFormat="1" applyFont="1" applyBorder="1" applyAlignment="1">
      <alignment horizontal="left"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166" fontId="0" fillId="0" borderId="0" xfId="0" applyNumberFormat="1" applyAlignment="1">
      <alignment horizontal="right" vertical="center"/>
    </xf>
    <xf numFmtId="166" fontId="0" fillId="0" borderId="8" xfId="0" applyNumberFormat="1" applyBorder="1" applyAlignment="1">
      <alignment horizontal="right" vertical="center"/>
    </xf>
    <xf numFmtId="0" fontId="0" fillId="0" borderId="13" xfId="0"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vertical="center" wrapText="1"/>
    </xf>
    <xf numFmtId="0" fontId="0" fillId="0" borderId="8" xfId="0" applyBorder="1" applyAlignment="1">
      <alignment vertical="center" wrapText="1"/>
    </xf>
    <xf numFmtId="0" fontId="2" fillId="0" borderId="17" xfId="0" applyFont="1" applyBorder="1" applyAlignment="1">
      <alignment horizontal="center" vertical="center" wrapText="1"/>
    </xf>
    <xf numFmtId="0" fontId="4" fillId="0" borderId="2" xfId="0" applyFont="1" applyBorder="1" applyAlignment="1">
      <alignment horizontal="left" vertical="top" wrapText="1"/>
    </xf>
    <xf numFmtId="0" fontId="3" fillId="0" borderId="1" xfId="0" applyFont="1" applyBorder="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center" vertical="top"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10" fontId="0" fillId="0" borderId="2" xfId="2" applyNumberFormat="1" applyFont="1" applyBorder="1" applyAlignment="1">
      <alignment horizontal="right" vertical="center"/>
    </xf>
    <xf numFmtId="10" fontId="0" fillId="0" borderId="10" xfId="2" applyNumberFormat="1" applyFont="1" applyBorder="1" applyAlignment="1">
      <alignment horizontal="righ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166" fontId="0" fillId="0" borderId="2" xfId="0" applyNumberFormat="1" applyBorder="1" applyAlignment="1">
      <alignment horizontal="right" vertical="center"/>
    </xf>
    <xf numFmtId="166" fontId="0" fillId="0" borderId="10" xfId="0" applyNumberFormat="1" applyBorder="1" applyAlignment="1">
      <alignment horizontal="righ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67" fontId="0" fillId="0" borderId="2" xfId="0" applyNumberFormat="1" applyBorder="1" applyAlignment="1">
      <alignment horizontal="right" vertical="center"/>
    </xf>
    <xf numFmtId="167" fontId="0" fillId="0" borderId="10" xfId="0" applyNumberFormat="1" applyBorder="1" applyAlignment="1">
      <alignment horizontal="right" vertical="center"/>
    </xf>
    <xf numFmtId="43" fontId="0" fillId="0" borderId="2" xfId="1" applyFont="1" applyBorder="1" applyAlignment="1">
      <alignment horizontal="right" vertical="center"/>
    </xf>
    <xf numFmtId="43" fontId="0" fillId="0" borderId="10" xfId="1" applyFont="1" applyBorder="1" applyAlignment="1">
      <alignment horizontal="righ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0" fillId="0" borderId="17"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075D-0787-47D9-B613-CE7DD0A25865}">
  <dimension ref="A1:M35"/>
  <sheetViews>
    <sheetView topLeftCell="A27" workbookViewId="0">
      <selection activeCell="I11" sqref="I11"/>
    </sheetView>
  </sheetViews>
  <sheetFormatPr defaultColWidth="30.85546875" defaultRowHeight="15.75" x14ac:dyDescent="0.25"/>
  <cols>
    <col min="1" max="1" width="38" style="2" bestFit="1" customWidth="1"/>
    <col min="2" max="2" width="40.7109375" style="2" customWidth="1"/>
    <col min="3" max="3" width="14.28515625" style="2" bestFit="1" customWidth="1"/>
    <col min="4" max="4" width="11.28515625" style="2" bestFit="1" customWidth="1"/>
    <col min="5" max="5" width="12" style="2" bestFit="1" customWidth="1"/>
    <col min="6" max="6" width="11.28515625" style="2" bestFit="1" customWidth="1"/>
    <col min="7" max="7" width="12.85546875" style="2" customWidth="1"/>
    <col min="8" max="8" width="11.28515625" style="2" bestFit="1" customWidth="1"/>
    <col min="9" max="10" width="12.7109375" style="2" customWidth="1"/>
    <col min="11" max="11" width="11.28515625" style="2" bestFit="1" customWidth="1"/>
    <col min="12" max="16384" width="30.85546875" style="2"/>
  </cols>
  <sheetData>
    <row r="1" spans="1:13" x14ac:dyDescent="0.25">
      <c r="A1" s="84" t="s">
        <v>0</v>
      </c>
      <c r="B1" s="84"/>
      <c r="C1" s="84"/>
      <c r="D1" s="84"/>
      <c r="E1" s="84"/>
      <c r="F1" s="1"/>
      <c r="G1" s="1"/>
      <c r="H1" s="1"/>
      <c r="I1" s="1"/>
      <c r="J1" s="1"/>
      <c r="K1" s="1"/>
      <c r="L1" s="1"/>
      <c r="M1" s="1"/>
    </row>
    <row r="2" spans="1:13" x14ac:dyDescent="0.25">
      <c r="A2" s="3" t="s">
        <v>1</v>
      </c>
      <c r="B2" s="3" t="s">
        <v>2</v>
      </c>
      <c r="C2" s="3" t="s">
        <v>3</v>
      </c>
      <c r="D2" s="3" t="s">
        <v>4</v>
      </c>
      <c r="E2" s="4" t="s">
        <v>5</v>
      </c>
    </row>
    <row r="3" spans="1:13" x14ac:dyDescent="0.25">
      <c r="A3" s="4" t="s">
        <v>6</v>
      </c>
      <c r="B3" s="43">
        <v>5000000</v>
      </c>
      <c r="C3" s="5">
        <f>E16</f>
        <v>6574904</v>
      </c>
      <c r="D3" s="5">
        <f>G16</f>
        <v>4805215.1673050001</v>
      </c>
      <c r="E3" s="5">
        <f>I16</f>
        <v>7076310.0183473211</v>
      </c>
    </row>
    <row r="4" spans="1:13" x14ac:dyDescent="0.25">
      <c r="A4" s="4" t="s">
        <v>7</v>
      </c>
      <c r="B4" s="6">
        <v>0.08</v>
      </c>
      <c r="C4" s="6">
        <v>0.08</v>
      </c>
      <c r="D4" s="6">
        <v>0.08</v>
      </c>
      <c r="E4" s="6">
        <v>0.08</v>
      </c>
    </row>
    <row r="5" spans="1:13" x14ac:dyDescent="0.25">
      <c r="A5" s="4" t="s">
        <v>8</v>
      </c>
      <c r="B5" s="6">
        <v>0.2</v>
      </c>
      <c r="C5" s="6">
        <v>0.2</v>
      </c>
      <c r="D5" s="6">
        <v>0.2</v>
      </c>
      <c r="E5" s="6">
        <v>0.2</v>
      </c>
    </row>
    <row r="6" spans="1:13" x14ac:dyDescent="0.25">
      <c r="A6" s="4" t="s">
        <v>9</v>
      </c>
      <c r="B6" s="7">
        <v>1.4999999999999999E-2</v>
      </c>
      <c r="C6" s="7">
        <v>1.4999999999999999E-2</v>
      </c>
      <c r="D6" s="7">
        <v>1.4999999999999999E-2</v>
      </c>
      <c r="E6" s="7">
        <v>1.4999999999999999E-2</v>
      </c>
    </row>
    <row r="7" spans="1:13" x14ac:dyDescent="0.25">
      <c r="A7" s="4" t="s">
        <v>10</v>
      </c>
      <c r="B7" s="8">
        <v>2E-3</v>
      </c>
      <c r="C7" s="8">
        <v>2E-3</v>
      </c>
      <c r="D7" s="8">
        <v>2E-3</v>
      </c>
      <c r="E7" s="8">
        <v>2E-3</v>
      </c>
    </row>
    <row r="8" spans="1:13" x14ac:dyDescent="0.25">
      <c r="A8" s="4" t="s">
        <v>11</v>
      </c>
      <c r="B8" s="8">
        <v>5.0000000000000001E-3</v>
      </c>
      <c r="C8" s="8">
        <v>5.0000000000000001E-3</v>
      </c>
      <c r="D8" s="8">
        <v>5.0000000000000001E-3</v>
      </c>
      <c r="E8" s="8">
        <v>5.0000000000000001E-3</v>
      </c>
    </row>
    <row r="9" spans="1:13" x14ac:dyDescent="0.25">
      <c r="A9" s="4" t="s">
        <v>12</v>
      </c>
      <c r="B9" s="6">
        <v>0.4</v>
      </c>
      <c r="C9" s="6">
        <v>-0.25</v>
      </c>
      <c r="D9" s="6">
        <v>0.5</v>
      </c>
      <c r="E9" s="6">
        <v>0.4</v>
      </c>
    </row>
    <row r="11" spans="1:13" ht="84" customHeight="1" x14ac:dyDescent="0.25">
      <c r="A11" s="85" t="s">
        <v>13</v>
      </c>
      <c r="B11" s="86"/>
      <c r="C11" s="86"/>
      <c r="D11" s="86"/>
      <c r="E11" s="86"/>
      <c r="F11" s="86"/>
    </row>
    <row r="12" spans="1:13" x14ac:dyDescent="0.25">
      <c r="A12" s="87" t="s">
        <v>14</v>
      </c>
      <c r="B12" s="87"/>
    </row>
    <row r="13" spans="1:13" x14ac:dyDescent="0.25">
      <c r="A13" s="3" t="s">
        <v>15</v>
      </c>
      <c r="B13" s="3" t="s">
        <v>1</v>
      </c>
      <c r="C13" s="88" t="s">
        <v>2</v>
      </c>
      <c r="D13" s="88"/>
      <c r="E13" s="88" t="s">
        <v>3</v>
      </c>
      <c r="F13" s="88"/>
      <c r="G13" s="88" t="s">
        <v>4</v>
      </c>
      <c r="H13" s="88"/>
      <c r="I13" s="88" t="s">
        <v>5</v>
      </c>
      <c r="J13" s="88"/>
      <c r="K13" s="9" t="s">
        <v>16</v>
      </c>
    </row>
    <row r="14" spans="1:13" x14ac:dyDescent="0.25">
      <c r="A14" s="10"/>
      <c r="B14" s="10"/>
      <c r="C14" s="88" t="s">
        <v>17</v>
      </c>
      <c r="D14" s="88"/>
      <c r="E14" s="88" t="s">
        <v>17</v>
      </c>
      <c r="F14" s="88"/>
      <c r="G14" s="88" t="s">
        <v>17</v>
      </c>
      <c r="H14" s="88"/>
      <c r="I14" s="88" t="s">
        <v>17</v>
      </c>
      <c r="J14" s="88"/>
      <c r="K14" s="10"/>
    </row>
    <row r="15" spans="1:13" x14ac:dyDescent="0.25">
      <c r="A15" s="10"/>
      <c r="B15" s="10"/>
      <c r="C15" s="11" t="s">
        <v>18</v>
      </c>
      <c r="D15" s="12">
        <f>B9</f>
        <v>0.4</v>
      </c>
      <c r="E15" s="11" t="s">
        <v>18</v>
      </c>
      <c r="F15" s="12">
        <f>C9</f>
        <v>-0.25</v>
      </c>
      <c r="G15" s="11" t="s">
        <v>18</v>
      </c>
      <c r="H15" s="13">
        <f>D9</f>
        <v>0.5</v>
      </c>
      <c r="I15" s="11" t="s">
        <v>18</v>
      </c>
      <c r="J15" s="13">
        <f>E9</f>
        <v>0.4</v>
      </c>
      <c r="K15" s="10"/>
    </row>
    <row r="16" spans="1:13" ht="31.5" x14ac:dyDescent="0.25">
      <c r="A16" s="14">
        <v>1</v>
      </c>
      <c r="B16" s="4" t="s">
        <v>19</v>
      </c>
      <c r="C16" s="44">
        <f>B3</f>
        <v>5000000</v>
      </c>
      <c r="D16" s="15"/>
      <c r="E16" s="5">
        <f>D30</f>
        <v>6574904</v>
      </c>
      <c r="F16" s="15"/>
      <c r="G16" s="5">
        <f>F30</f>
        <v>4805215.1673050001</v>
      </c>
      <c r="H16" s="15"/>
      <c r="I16" s="5">
        <f>H30</f>
        <v>7076310.0183473211</v>
      </c>
      <c r="J16" s="15"/>
      <c r="K16" s="83"/>
    </row>
    <row r="17" spans="1:12" ht="31.5" x14ac:dyDescent="0.25">
      <c r="A17" s="14">
        <v>2</v>
      </c>
      <c r="B17" s="4" t="s">
        <v>20</v>
      </c>
      <c r="C17" s="16">
        <f>C16*B9</f>
        <v>2000000</v>
      </c>
      <c r="D17" s="17"/>
      <c r="E17" s="16">
        <f>E16*C9</f>
        <v>-1643726</v>
      </c>
      <c r="F17" s="17"/>
      <c r="G17" s="16">
        <f>G16*D9</f>
        <v>2402607.5836525001</v>
      </c>
      <c r="H17" s="17"/>
      <c r="I17" s="16">
        <f>I16*E9</f>
        <v>2830524.0073389285</v>
      </c>
      <c r="J17" s="15"/>
      <c r="K17" s="83"/>
    </row>
    <row r="18" spans="1:12" ht="30" x14ac:dyDescent="0.25">
      <c r="A18" s="14">
        <v>3</v>
      </c>
      <c r="B18" s="18" t="s">
        <v>21</v>
      </c>
      <c r="C18" s="16">
        <f>C16+C17</f>
        <v>7000000</v>
      </c>
      <c r="D18" s="17"/>
      <c r="E18" s="16">
        <f>SUM(E16:E17)</f>
        <v>4931178</v>
      </c>
      <c r="F18" s="17"/>
      <c r="G18" s="16">
        <f>SUM(G16:G17)</f>
        <v>7207822.7509575002</v>
      </c>
      <c r="H18" s="17"/>
      <c r="I18" s="16">
        <f>SUM(I16:I17)</f>
        <v>9906834.0256862491</v>
      </c>
      <c r="J18" s="15"/>
      <c r="K18" s="83"/>
    </row>
    <row r="19" spans="1:12" ht="30" x14ac:dyDescent="0.25">
      <c r="A19" s="14">
        <v>4</v>
      </c>
      <c r="B19" s="18" t="s">
        <v>22</v>
      </c>
      <c r="C19" s="16">
        <f>(C18+C16)/2</f>
        <v>6000000</v>
      </c>
      <c r="D19" s="17"/>
      <c r="E19" s="16">
        <f>(E16+E18)/2</f>
        <v>5753041</v>
      </c>
      <c r="F19" s="17"/>
      <c r="G19" s="16">
        <f>(G16+G18)/2</f>
        <v>6006518.9591312502</v>
      </c>
      <c r="H19" s="17"/>
      <c r="I19" s="16">
        <f>(I16+I18)/2</f>
        <v>8491572.022016786</v>
      </c>
      <c r="J19" s="15"/>
      <c r="K19" s="83"/>
    </row>
    <row r="20" spans="1:12" x14ac:dyDescent="0.25">
      <c r="A20" s="14"/>
      <c r="B20" s="18"/>
      <c r="C20" s="16"/>
      <c r="D20" s="17"/>
      <c r="E20" s="16"/>
      <c r="F20" s="17"/>
      <c r="G20" s="16"/>
      <c r="H20" s="17"/>
      <c r="I20" s="16"/>
      <c r="J20" s="15"/>
      <c r="K20" s="83"/>
    </row>
    <row r="21" spans="1:12" ht="31.5" x14ac:dyDescent="0.25">
      <c r="A21" s="14">
        <v>5</v>
      </c>
      <c r="B21" s="19" t="s">
        <v>23</v>
      </c>
      <c r="C21" s="20">
        <f>C19*B7</f>
        <v>12000</v>
      </c>
      <c r="D21" s="15"/>
      <c r="E21" s="20">
        <f>E19*C7</f>
        <v>11506.082</v>
      </c>
      <c r="F21" s="15"/>
      <c r="G21" s="20">
        <f>G19*D7</f>
        <v>12013.0379182625</v>
      </c>
      <c r="H21" s="15"/>
      <c r="I21" s="20">
        <f>I19*E7</f>
        <v>16983.144044033572</v>
      </c>
      <c r="J21" s="15"/>
      <c r="K21" s="83"/>
    </row>
    <row r="22" spans="1:12" x14ac:dyDescent="0.25">
      <c r="A22" s="14">
        <v>6</v>
      </c>
      <c r="B22" s="19" t="s">
        <v>24</v>
      </c>
      <c r="C22" s="20">
        <f>C19*B8</f>
        <v>30000</v>
      </c>
      <c r="D22" s="15"/>
      <c r="E22" s="20">
        <f>E19*C8</f>
        <v>28765.205000000002</v>
      </c>
      <c r="F22" s="15"/>
      <c r="G22" s="20">
        <f>G19*D8</f>
        <v>30032.594795656252</v>
      </c>
      <c r="H22" s="15"/>
      <c r="I22" s="20">
        <f>I19*E8</f>
        <v>42457.86011008393</v>
      </c>
      <c r="J22" s="15"/>
      <c r="K22" s="83"/>
    </row>
    <row r="23" spans="1:12" x14ac:dyDescent="0.25">
      <c r="A23" s="14">
        <v>7</v>
      </c>
      <c r="B23" s="19" t="s">
        <v>25</v>
      </c>
      <c r="C23" s="20">
        <f>(C19-C21-C22)*B6</f>
        <v>89370</v>
      </c>
      <c r="D23" s="15"/>
      <c r="E23" s="20">
        <f>(E19-E21-E22)*C6</f>
        <v>85691.545694999993</v>
      </c>
      <c r="F23" s="15"/>
      <c r="G23" s="20">
        <f>(G19-G21-G22)*D6</f>
        <v>89467.09989625997</v>
      </c>
      <c r="H23" s="15"/>
      <c r="I23" s="20">
        <f>(I19-I21-I22)*E6</f>
        <v>126481.96526794002</v>
      </c>
      <c r="J23" s="15"/>
      <c r="K23" s="83"/>
    </row>
    <row r="24" spans="1:12" s="39" customFormat="1" ht="94.5" x14ac:dyDescent="0.25">
      <c r="A24" s="37">
        <v>8</v>
      </c>
      <c r="B24" s="38" t="s">
        <v>26</v>
      </c>
      <c r="C24" s="22">
        <f>C16+C17-C21-C22-C23</f>
        <v>6868630</v>
      </c>
      <c r="D24" s="23"/>
      <c r="E24" s="22">
        <f>E16+E17-E21-E22-E23</f>
        <v>4805215.1673049992</v>
      </c>
      <c r="F24" s="23"/>
      <c r="G24" s="22">
        <f>G16+G17-G21-G22-G23</f>
        <v>7076310.018347322</v>
      </c>
      <c r="H24" s="23"/>
      <c r="I24" s="22">
        <f>I16+I17-I21-I22-I23</f>
        <v>9720911.0562641919</v>
      </c>
      <c r="J24" s="23"/>
      <c r="K24" s="83"/>
    </row>
    <row r="25" spans="1:12" ht="78.75" x14ac:dyDescent="0.25">
      <c r="A25" s="21">
        <v>9</v>
      </c>
      <c r="B25" s="19" t="s">
        <v>34</v>
      </c>
      <c r="C25" s="24">
        <f>(C24-C32)/C32*100%</f>
        <v>0.373726</v>
      </c>
      <c r="D25" s="10"/>
      <c r="E25" s="24">
        <f>(E24-E32)/E32*100%</f>
        <v>-0.30041141140154598</v>
      </c>
      <c r="F25" s="10"/>
      <c r="G25" s="24">
        <f>(G24-G32)/G32*100%</f>
        <v>3.0236017713477361E-2</v>
      </c>
      <c r="H25" s="10"/>
      <c r="I25" s="24">
        <f>(I24-I32)/I32*100%</f>
        <v>0.37372599999999978</v>
      </c>
      <c r="J25" s="10"/>
      <c r="K25" s="83"/>
      <c r="L25" s="25"/>
    </row>
    <row r="26" spans="1:12" ht="47.25" x14ac:dyDescent="0.25">
      <c r="A26" s="21">
        <v>10</v>
      </c>
      <c r="B26" s="19" t="s">
        <v>27</v>
      </c>
      <c r="C26" s="24">
        <f>C25-B4</f>
        <v>0.29372599999999999</v>
      </c>
      <c r="D26" s="10"/>
      <c r="E26" s="26">
        <f>IF(E25-C4,E25-C4,0)*AND(E25&gt;0)</f>
        <v>0</v>
      </c>
      <c r="F26" s="10"/>
      <c r="G26" s="26">
        <f>IF(G25-E4,G25-E4,0)*AND(G25&gt;0)</f>
        <v>-4.9763982286522637E-2</v>
      </c>
      <c r="H26" s="10"/>
      <c r="I26" s="24">
        <f>IF(I25-E4,I25-E4,0)*AND(I25&gt;0)</f>
        <v>0.29372599999999977</v>
      </c>
      <c r="J26" s="10"/>
      <c r="K26" s="83"/>
    </row>
    <row r="27" spans="1:12" ht="31.5" x14ac:dyDescent="0.25">
      <c r="A27" s="14">
        <v>11</v>
      </c>
      <c r="B27" s="19" t="s">
        <v>28</v>
      </c>
      <c r="C27" s="24">
        <f>C26*B5</f>
        <v>5.8745199999999997E-2</v>
      </c>
      <c r="D27" s="10"/>
      <c r="E27" s="24">
        <f>IF(E26&gt;0,E26*C5,0)</f>
        <v>0</v>
      </c>
      <c r="F27" s="10"/>
      <c r="G27" s="24">
        <f>IF(G26&gt;0,G26*D5,0)</f>
        <v>0</v>
      </c>
      <c r="H27" s="10"/>
      <c r="I27" s="24">
        <f>IF(I26&gt;0,I26*E5,0)</f>
        <v>5.8745199999999956E-2</v>
      </c>
      <c r="J27" s="10"/>
      <c r="K27" s="83"/>
    </row>
    <row r="28" spans="1:12" s="39" customFormat="1" ht="47.25" x14ac:dyDescent="0.25">
      <c r="A28" s="37">
        <v>12</v>
      </c>
      <c r="B28" s="38" t="s">
        <v>29</v>
      </c>
      <c r="C28" s="27">
        <f>C27*C16</f>
        <v>293726</v>
      </c>
      <c r="D28" s="10"/>
      <c r="E28" s="27">
        <f>E27*E16</f>
        <v>0</v>
      </c>
      <c r="F28" s="10"/>
      <c r="G28" s="27">
        <f>G27*G16</f>
        <v>0</v>
      </c>
      <c r="H28" s="10"/>
      <c r="I28" s="27">
        <f>I27*I16</f>
        <v>415699.24728981673</v>
      </c>
      <c r="J28" s="10"/>
      <c r="K28" s="83"/>
    </row>
    <row r="29" spans="1:12" ht="31.5" x14ac:dyDescent="0.25">
      <c r="A29" s="21">
        <v>13</v>
      </c>
      <c r="B29" s="28" t="s">
        <v>30</v>
      </c>
      <c r="C29" s="29"/>
      <c r="D29" s="30">
        <f>(C21+C22+C23+C28)</f>
        <v>425096</v>
      </c>
      <c r="E29" s="15"/>
      <c r="F29" s="31">
        <f>E21+E22+E23</f>
        <v>125962.83269499999</v>
      </c>
      <c r="G29" s="15"/>
      <c r="H29" s="31">
        <f>G21+G22+G23</f>
        <v>131512.7326101787</v>
      </c>
      <c r="I29" s="15"/>
      <c r="J29" s="32">
        <f>I21+I22+I23+I28</f>
        <v>601622.21671187424</v>
      </c>
      <c r="K29" s="83"/>
    </row>
    <row r="30" spans="1:12" ht="31.5" x14ac:dyDescent="0.25">
      <c r="A30" s="14">
        <v>14</v>
      </c>
      <c r="B30" s="19" t="s">
        <v>31</v>
      </c>
      <c r="C30" s="15"/>
      <c r="D30" s="33">
        <f>C18-D29</f>
        <v>6574904</v>
      </c>
      <c r="E30" s="15"/>
      <c r="F30" s="33">
        <f>E16+E17-F29</f>
        <v>4805215.1673050001</v>
      </c>
      <c r="G30" s="15"/>
      <c r="H30" s="33">
        <f>G16+G17-H29</f>
        <v>7076310.0183473211</v>
      </c>
      <c r="I30" s="15"/>
      <c r="J30" s="33">
        <f>I16+I17-J29</f>
        <v>9305211.8089743741</v>
      </c>
      <c r="K30" s="83"/>
    </row>
    <row r="31" spans="1:12" ht="31.5" x14ac:dyDescent="0.25">
      <c r="A31" s="14">
        <v>15</v>
      </c>
      <c r="B31" s="4" t="s">
        <v>32</v>
      </c>
      <c r="C31" s="10"/>
      <c r="D31" s="34">
        <f>(D30-C16)/C16*100%</f>
        <v>0.31498080000000001</v>
      </c>
      <c r="E31" s="10"/>
      <c r="F31" s="34">
        <f>(F30-E16)/E16*100%</f>
        <v>-0.26915812499999997</v>
      </c>
      <c r="G31" s="10"/>
      <c r="H31" s="34">
        <f>(H30-G16)/G16*100%</f>
        <v>0.47263124999999989</v>
      </c>
      <c r="I31" s="10"/>
      <c r="J31" s="34">
        <f>(J30-I16)/I16*100%</f>
        <v>0.31498079999999989</v>
      </c>
      <c r="K31" s="83"/>
    </row>
    <row r="32" spans="1:12" ht="47.25" x14ac:dyDescent="0.25">
      <c r="A32" s="21">
        <v>16</v>
      </c>
      <c r="B32" s="4" t="s">
        <v>33</v>
      </c>
      <c r="C32" s="41">
        <f>C16</f>
        <v>5000000</v>
      </c>
      <c r="D32" s="42"/>
      <c r="E32" s="35">
        <f>C24</f>
        <v>6868630</v>
      </c>
      <c r="F32" s="40"/>
      <c r="G32" s="35">
        <f>IF(E24&gt;E32,E24,E32)</f>
        <v>6868630</v>
      </c>
      <c r="H32" s="40"/>
      <c r="I32" s="35">
        <f>IF(G24&gt;G32,G24,G32)</f>
        <v>7076310.018347322</v>
      </c>
      <c r="J32" s="40"/>
      <c r="K32" s="35">
        <f>IF(I24&gt;I32,I24,I32)</f>
        <v>9720911.0562641919</v>
      </c>
    </row>
    <row r="35" spans="4:5" x14ac:dyDescent="0.25">
      <c r="D35" s="36"/>
      <c r="E35" s="36"/>
    </row>
  </sheetData>
  <mergeCells count="12">
    <mergeCell ref="K16:K31"/>
    <mergeCell ref="A1:E1"/>
    <mergeCell ref="A11:F11"/>
    <mergeCell ref="A12:B12"/>
    <mergeCell ref="C13:D13"/>
    <mergeCell ref="E13:F13"/>
    <mergeCell ref="G13:H13"/>
    <mergeCell ref="I13:J13"/>
    <mergeCell ref="C14:D14"/>
    <mergeCell ref="E14:F14"/>
    <mergeCell ref="G14:H14"/>
    <mergeCell ref="I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50D9-6345-400E-A691-B3A352183319}">
  <dimension ref="B1:K32"/>
  <sheetViews>
    <sheetView workbookViewId="0">
      <selection activeCell="C35" sqref="C35"/>
    </sheetView>
  </sheetViews>
  <sheetFormatPr defaultColWidth="8.85546875" defaultRowHeight="15" x14ac:dyDescent="0.25"/>
  <cols>
    <col min="1" max="1" width="8.85546875" style="48"/>
    <col min="2" max="2" width="5.42578125" style="45" customWidth="1"/>
    <col min="3" max="3" width="48" style="46" customWidth="1"/>
    <col min="4" max="4" width="4.5703125" style="47" customWidth="1"/>
    <col min="5" max="5" width="18.42578125" style="46" customWidth="1"/>
    <col min="6" max="6" width="8.42578125" style="48" customWidth="1"/>
    <col min="7" max="7" width="5.85546875" style="48" customWidth="1"/>
    <col min="8" max="8" width="8.42578125" style="48" customWidth="1"/>
    <col min="9" max="9" width="5.28515625" style="48" customWidth="1"/>
    <col min="10" max="10" width="10.85546875" style="48" customWidth="1"/>
    <col min="11" max="11" width="3.5703125" style="48" customWidth="1"/>
    <col min="12" max="16384" width="8.85546875" style="48"/>
  </cols>
  <sheetData>
    <row r="1" spans="3:11" ht="15.75" thickBot="1" x14ac:dyDescent="0.3"/>
    <row r="2" spans="3:11" x14ac:dyDescent="0.25">
      <c r="C2" s="49" t="s">
        <v>35</v>
      </c>
      <c r="D2" s="50"/>
      <c r="E2" s="51"/>
      <c r="F2" s="52"/>
      <c r="G2" s="52"/>
      <c r="H2" s="52"/>
      <c r="I2" s="52"/>
      <c r="J2" s="52"/>
      <c r="K2" s="53"/>
    </row>
    <row r="3" spans="3:11" x14ac:dyDescent="0.25">
      <c r="C3" s="54" t="s">
        <v>36</v>
      </c>
      <c r="D3" s="55" t="s">
        <v>37</v>
      </c>
      <c r="E3" s="56">
        <v>5000000</v>
      </c>
      <c r="K3" s="57"/>
    </row>
    <row r="4" spans="3:11" x14ac:dyDescent="0.25">
      <c r="C4" s="54" t="s">
        <v>38</v>
      </c>
      <c r="D4" s="55" t="s">
        <v>39</v>
      </c>
      <c r="E4" s="58">
        <v>2.5000000000000001E-2</v>
      </c>
      <c r="K4" s="57"/>
    </row>
    <row r="5" spans="3:11" x14ac:dyDescent="0.25">
      <c r="C5" s="54" t="s">
        <v>40</v>
      </c>
      <c r="D5" s="55" t="s">
        <v>41</v>
      </c>
      <c r="E5" s="59">
        <v>5.0000000000000001E-3</v>
      </c>
      <c r="K5" s="57"/>
    </row>
    <row r="6" spans="3:11" x14ac:dyDescent="0.25">
      <c r="C6" s="54" t="s">
        <v>42</v>
      </c>
      <c r="D6" s="55" t="s">
        <v>43</v>
      </c>
      <c r="E6" s="59">
        <v>2E-3</v>
      </c>
      <c r="K6" s="57"/>
    </row>
    <row r="7" spans="3:11" x14ac:dyDescent="0.25">
      <c r="C7" s="54"/>
      <c r="D7" s="55"/>
      <c r="E7" s="18"/>
      <c r="F7" s="60"/>
      <c r="K7" s="57"/>
    </row>
    <row r="8" spans="3:11" x14ac:dyDescent="0.25">
      <c r="C8" s="109" t="s">
        <v>44</v>
      </c>
      <c r="D8" s="110"/>
      <c r="E8" s="111"/>
      <c r="F8" s="112" t="s">
        <v>45</v>
      </c>
      <c r="G8" s="112"/>
      <c r="H8" s="112" t="s">
        <v>46</v>
      </c>
      <c r="I8" s="112"/>
      <c r="J8" s="112" t="s">
        <v>47</v>
      </c>
      <c r="K8" s="113"/>
    </row>
    <row r="9" spans="3:11" x14ac:dyDescent="0.25">
      <c r="C9" s="109"/>
      <c r="D9" s="110"/>
      <c r="E9" s="110"/>
      <c r="F9" s="61" t="s">
        <v>48</v>
      </c>
      <c r="G9" s="62">
        <v>0.2</v>
      </c>
      <c r="H9" s="61" t="s">
        <v>49</v>
      </c>
      <c r="I9" s="62">
        <v>-0.2</v>
      </c>
      <c r="J9" s="61" t="s">
        <v>50</v>
      </c>
      <c r="K9" s="63">
        <v>0</v>
      </c>
    </row>
    <row r="10" spans="3:11" x14ac:dyDescent="0.25">
      <c r="C10" s="54" t="s">
        <v>51</v>
      </c>
      <c r="D10" s="55" t="s">
        <v>52</v>
      </c>
      <c r="E10" s="64" t="s">
        <v>53</v>
      </c>
      <c r="F10" s="100">
        <f>+$E$3</f>
        <v>5000000</v>
      </c>
      <c r="G10" s="100"/>
      <c r="H10" s="100">
        <f>+$E$3</f>
        <v>5000000</v>
      </c>
      <c r="I10" s="100"/>
      <c r="J10" s="100">
        <f>+$E$3</f>
        <v>5000000</v>
      </c>
      <c r="K10" s="101"/>
    </row>
    <row r="11" spans="3:11" x14ac:dyDescent="0.25">
      <c r="C11" s="54" t="s">
        <v>54</v>
      </c>
      <c r="D11" s="55" t="s">
        <v>55</v>
      </c>
      <c r="E11" s="64" t="s">
        <v>56</v>
      </c>
      <c r="F11" s="100">
        <f>F10*G9</f>
        <v>1000000</v>
      </c>
      <c r="G11" s="100"/>
      <c r="H11" s="100">
        <f>H10*I9</f>
        <v>-1000000</v>
      </c>
      <c r="I11" s="100"/>
      <c r="J11" s="107">
        <f>J10*K9</f>
        <v>0</v>
      </c>
      <c r="K11" s="108"/>
    </row>
    <row r="12" spans="3:11" x14ac:dyDescent="0.25">
      <c r="C12" s="54" t="s">
        <v>57</v>
      </c>
      <c r="D12" s="55" t="s">
        <v>58</v>
      </c>
      <c r="E12" s="64" t="s">
        <v>59</v>
      </c>
      <c r="F12" s="100">
        <f>F10+F11</f>
        <v>6000000</v>
      </c>
      <c r="G12" s="100"/>
      <c r="H12" s="100">
        <f>H10+H11</f>
        <v>4000000</v>
      </c>
      <c r="I12" s="100"/>
      <c r="J12" s="100">
        <f>J10+J11</f>
        <v>5000000</v>
      </c>
      <c r="K12" s="101"/>
    </row>
    <row r="13" spans="3:11" x14ac:dyDescent="0.25">
      <c r="C13" s="102"/>
      <c r="D13" s="103"/>
      <c r="E13" s="103"/>
      <c r="F13" s="103"/>
      <c r="G13" s="103"/>
      <c r="H13" s="103"/>
      <c r="I13" s="103"/>
      <c r="J13" s="103"/>
      <c r="K13" s="104"/>
    </row>
    <row r="14" spans="3:11" x14ac:dyDescent="0.25">
      <c r="C14" s="54" t="s">
        <v>60</v>
      </c>
      <c r="D14" s="55" t="s">
        <v>61</v>
      </c>
      <c r="E14" s="64" t="s">
        <v>62</v>
      </c>
      <c r="F14" s="105">
        <f>(F10+F12)/2</f>
        <v>5500000</v>
      </c>
      <c r="G14" s="105"/>
      <c r="H14" s="105">
        <f>(H10+H12)/2</f>
        <v>4500000</v>
      </c>
      <c r="I14" s="105"/>
      <c r="J14" s="105">
        <f>(J10+J12)/2</f>
        <v>5000000</v>
      </c>
      <c r="K14" s="106"/>
    </row>
    <row r="15" spans="3:11" x14ac:dyDescent="0.25">
      <c r="C15" s="102"/>
      <c r="D15" s="103"/>
      <c r="E15" s="103"/>
      <c r="F15" s="103"/>
      <c r="G15" s="103"/>
      <c r="H15" s="103"/>
      <c r="I15" s="103"/>
      <c r="J15" s="103"/>
      <c r="K15" s="104"/>
    </row>
    <row r="16" spans="3:11" x14ac:dyDescent="0.25">
      <c r="C16" s="54" t="s">
        <v>63</v>
      </c>
      <c r="D16" s="55" t="s">
        <v>64</v>
      </c>
      <c r="E16" s="64" t="s">
        <v>65</v>
      </c>
      <c r="F16" s="100">
        <f>+F14*-$E$5</f>
        <v>-27500</v>
      </c>
      <c r="G16" s="100"/>
      <c r="H16" s="100">
        <f>+H14*-$E$5</f>
        <v>-22500</v>
      </c>
      <c r="I16" s="100"/>
      <c r="J16" s="100">
        <f>+J14*-$E$5</f>
        <v>-25000</v>
      </c>
      <c r="K16" s="101"/>
    </row>
    <row r="17" spans="2:11" x14ac:dyDescent="0.25">
      <c r="C17" s="54" t="s">
        <v>42</v>
      </c>
      <c r="D17" s="55" t="s">
        <v>66</v>
      </c>
      <c r="E17" s="64" t="s">
        <v>67</v>
      </c>
      <c r="F17" s="100">
        <f>+F14*-$E$6</f>
        <v>-11000</v>
      </c>
      <c r="G17" s="100"/>
      <c r="H17" s="100">
        <f>+H14*-$E$6</f>
        <v>-9000</v>
      </c>
      <c r="I17" s="100"/>
      <c r="J17" s="100">
        <f>+J14*-$E$6</f>
        <v>-10000</v>
      </c>
      <c r="K17" s="101"/>
    </row>
    <row r="18" spans="2:11" x14ac:dyDescent="0.25">
      <c r="C18" s="54" t="s">
        <v>68</v>
      </c>
      <c r="D18" s="55" t="s">
        <v>69</v>
      </c>
      <c r="E18" s="18" t="s">
        <v>70</v>
      </c>
      <c r="F18" s="100">
        <f>+(F14+F16+F17)*-$E$4</f>
        <v>-136537.5</v>
      </c>
      <c r="G18" s="100"/>
      <c r="H18" s="100">
        <f>+(H14+H16+H17)*-$E$4</f>
        <v>-111712.5</v>
      </c>
      <c r="I18" s="100"/>
      <c r="J18" s="100">
        <f>+(J14+J16+J17)*-$E$4</f>
        <v>-124125</v>
      </c>
      <c r="K18" s="101"/>
    </row>
    <row r="19" spans="2:11" x14ac:dyDescent="0.25">
      <c r="C19" s="54" t="s">
        <v>71</v>
      </c>
      <c r="D19" s="55" t="s">
        <v>72</v>
      </c>
      <c r="E19" s="18" t="s">
        <v>73</v>
      </c>
      <c r="F19" s="100">
        <f>+F16+F18+F17</f>
        <v>-175037.5</v>
      </c>
      <c r="G19" s="100"/>
      <c r="H19" s="100">
        <f>+H16+H18+H17</f>
        <v>-143212.5</v>
      </c>
      <c r="I19" s="100"/>
      <c r="J19" s="100">
        <f>+J16+J18+J17</f>
        <v>-159125</v>
      </c>
      <c r="K19" s="101"/>
    </row>
    <row r="20" spans="2:11" x14ac:dyDescent="0.25">
      <c r="C20" s="102"/>
      <c r="D20" s="103"/>
      <c r="E20" s="103"/>
      <c r="F20" s="103"/>
      <c r="G20" s="103"/>
      <c r="H20" s="103"/>
      <c r="I20" s="103"/>
      <c r="J20" s="103"/>
      <c r="K20" s="104"/>
    </row>
    <row r="21" spans="2:11" x14ac:dyDescent="0.25">
      <c r="C21" s="54" t="s">
        <v>74</v>
      </c>
      <c r="D21" s="55" t="s">
        <v>75</v>
      </c>
      <c r="E21" s="18" t="s">
        <v>76</v>
      </c>
      <c r="F21" s="100">
        <f>F12+F19</f>
        <v>5824962.5</v>
      </c>
      <c r="G21" s="100"/>
      <c r="H21" s="100">
        <f>H12+H19</f>
        <v>3856787.5</v>
      </c>
      <c r="I21" s="100"/>
      <c r="J21" s="100">
        <f>J12+J19</f>
        <v>4840875</v>
      </c>
      <c r="K21" s="101"/>
    </row>
    <row r="22" spans="2:11" x14ac:dyDescent="0.25">
      <c r="C22" s="54" t="s">
        <v>77</v>
      </c>
      <c r="D22" s="55" t="s">
        <v>78</v>
      </c>
      <c r="E22" s="18" t="s">
        <v>79</v>
      </c>
      <c r="F22" s="95">
        <f>+F21/F10-1</f>
        <v>0.1649925000000001</v>
      </c>
      <c r="G22" s="95"/>
      <c r="H22" s="95">
        <f>+H21/H10-1</f>
        <v>-0.22864249999999997</v>
      </c>
      <c r="I22" s="95"/>
      <c r="J22" s="95">
        <f>+J21/J10-1</f>
        <v>-3.1824999999999992E-2</v>
      </c>
      <c r="K22" s="96"/>
    </row>
    <row r="23" spans="2:11" x14ac:dyDescent="0.25">
      <c r="C23" s="54"/>
      <c r="D23" s="55"/>
      <c r="E23" s="18"/>
      <c r="F23" s="66"/>
      <c r="G23" s="66"/>
      <c r="H23" s="66"/>
      <c r="I23" s="66"/>
      <c r="J23" s="66"/>
      <c r="K23" s="67"/>
    </row>
    <row r="24" spans="2:11" ht="15.75" thickBot="1" x14ac:dyDescent="0.3">
      <c r="B24" s="68"/>
      <c r="C24" s="97" t="s">
        <v>80</v>
      </c>
      <c r="D24" s="98"/>
      <c r="E24" s="98"/>
      <c r="F24" s="98"/>
      <c r="G24" s="98"/>
      <c r="H24" s="98"/>
      <c r="I24" s="98"/>
      <c r="J24" s="98"/>
      <c r="K24" s="99"/>
    </row>
    <row r="25" spans="2:11" s="70" customFormat="1" ht="46.5" customHeight="1" thickBot="1" x14ac:dyDescent="0.3">
      <c r="B25" s="69">
        <v>1</v>
      </c>
      <c r="C25" s="89" t="s">
        <v>81</v>
      </c>
      <c r="D25" s="90"/>
      <c r="E25" s="90"/>
      <c r="F25" s="90"/>
      <c r="G25" s="90"/>
      <c r="H25" s="90"/>
      <c r="I25" s="90"/>
      <c r="J25" s="90"/>
      <c r="K25" s="91"/>
    </row>
    <row r="26" spans="2:11" s="70" customFormat="1" ht="46.5" customHeight="1" thickBot="1" x14ac:dyDescent="0.3">
      <c r="B26" s="69">
        <f t="shared" ref="B26:B31" si="0">+B25+1</f>
        <v>2</v>
      </c>
      <c r="C26" s="89" t="s">
        <v>82</v>
      </c>
      <c r="D26" s="90"/>
      <c r="E26" s="90"/>
      <c r="F26" s="90"/>
      <c r="G26" s="90"/>
      <c r="H26" s="90"/>
      <c r="I26" s="90"/>
      <c r="J26" s="90"/>
      <c r="K26" s="91"/>
    </row>
    <row r="27" spans="2:11" s="70" customFormat="1" ht="46.5" customHeight="1" thickBot="1" x14ac:dyDescent="0.3">
      <c r="B27" s="69">
        <f t="shared" si="0"/>
        <v>3</v>
      </c>
      <c r="C27" s="89" t="s">
        <v>83</v>
      </c>
      <c r="D27" s="90"/>
      <c r="E27" s="90"/>
      <c r="F27" s="90"/>
      <c r="G27" s="90"/>
      <c r="H27" s="90"/>
      <c r="I27" s="90"/>
      <c r="J27" s="90"/>
      <c r="K27" s="91"/>
    </row>
    <row r="28" spans="2:11" s="70" customFormat="1" ht="46.5" customHeight="1" thickBot="1" x14ac:dyDescent="0.3">
      <c r="B28" s="69">
        <f t="shared" si="0"/>
        <v>4</v>
      </c>
      <c r="C28" s="92" t="s">
        <v>84</v>
      </c>
      <c r="D28" s="93"/>
      <c r="E28" s="93"/>
      <c r="F28" s="93"/>
      <c r="G28" s="93"/>
      <c r="H28" s="93"/>
      <c r="I28" s="93"/>
      <c r="J28" s="93"/>
      <c r="K28" s="94"/>
    </row>
    <row r="29" spans="2:11" s="70" customFormat="1" ht="46.5" customHeight="1" thickBot="1" x14ac:dyDescent="0.3">
      <c r="B29" s="69">
        <f t="shared" si="0"/>
        <v>5</v>
      </c>
      <c r="C29" s="89" t="s">
        <v>85</v>
      </c>
      <c r="D29" s="90"/>
      <c r="E29" s="90"/>
      <c r="F29" s="90"/>
      <c r="G29" s="90"/>
      <c r="H29" s="90"/>
      <c r="I29" s="90"/>
      <c r="J29" s="90"/>
      <c r="K29" s="91"/>
    </row>
    <row r="30" spans="2:11" s="70" customFormat="1" ht="46.5" customHeight="1" thickBot="1" x14ac:dyDescent="0.3">
      <c r="B30" s="69">
        <f t="shared" si="0"/>
        <v>6</v>
      </c>
      <c r="C30" s="89" t="s">
        <v>86</v>
      </c>
      <c r="D30" s="90"/>
      <c r="E30" s="90"/>
      <c r="F30" s="90"/>
      <c r="G30" s="90"/>
      <c r="H30" s="90"/>
      <c r="I30" s="90"/>
      <c r="J30" s="90"/>
      <c r="K30" s="91"/>
    </row>
    <row r="31" spans="2:11" s="70" customFormat="1" ht="46.5" customHeight="1" thickBot="1" x14ac:dyDescent="0.3">
      <c r="B31" s="69">
        <f t="shared" si="0"/>
        <v>7</v>
      </c>
      <c r="C31" s="89" t="s">
        <v>87</v>
      </c>
      <c r="D31" s="90"/>
      <c r="E31" s="90"/>
      <c r="F31" s="90"/>
      <c r="G31" s="90"/>
      <c r="H31" s="90"/>
      <c r="I31" s="90"/>
      <c r="J31" s="90"/>
      <c r="K31" s="91"/>
    </row>
    <row r="32" spans="2:11" ht="46.5" customHeight="1" thickBot="1" x14ac:dyDescent="0.3">
      <c r="B32" s="69">
        <v>8</v>
      </c>
      <c r="C32" s="89" t="s">
        <v>88</v>
      </c>
      <c r="D32" s="90"/>
      <c r="E32" s="90"/>
      <c r="F32" s="90"/>
      <c r="G32" s="90"/>
      <c r="H32" s="90"/>
      <c r="I32" s="90"/>
      <c r="J32" s="90"/>
      <c r="K32" s="91"/>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17:G17"/>
    <mergeCell ref="H17:I17"/>
    <mergeCell ref="J17:K17"/>
    <mergeCell ref="F18:G18"/>
    <mergeCell ref="H18:I18"/>
    <mergeCell ref="J18:K18"/>
    <mergeCell ref="F19:G19"/>
    <mergeCell ref="H19:I19"/>
    <mergeCell ref="J19:K19"/>
    <mergeCell ref="C20:K20"/>
    <mergeCell ref="F21:G21"/>
    <mergeCell ref="H21:I21"/>
    <mergeCell ref="J21:K21"/>
    <mergeCell ref="C32:K32"/>
    <mergeCell ref="F22:G22"/>
    <mergeCell ref="H22:I22"/>
    <mergeCell ref="J22:K22"/>
    <mergeCell ref="C24:K24"/>
    <mergeCell ref="C25:K25"/>
    <mergeCell ref="C26:K26"/>
    <mergeCell ref="C27:K27"/>
    <mergeCell ref="C28:K28"/>
    <mergeCell ref="C29:K29"/>
    <mergeCell ref="C30:K30"/>
    <mergeCell ref="C31:K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DAFA-6115-44DA-A822-2C82C99E4380}">
  <dimension ref="B1:M49"/>
  <sheetViews>
    <sheetView topLeftCell="A24" workbookViewId="0">
      <selection activeCell="C53" sqref="C53"/>
    </sheetView>
  </sheetViews>
  <sheetFormatPr defaultColWidth="8.85546875" defaultRowHeight="15" x14ac:dyDescent="0.25"/>
  <cols>
    <col min="1" max="1" width="8.85546875" style="48"/>
    <col min="2" max="2" width="5.42578125" style="45" customWidth="1"/>
    <col min="3" max="3" width="51.42578125" style="46" customWidth="1"/>
    <col min="4" max="4" width="4.5703125" style="47" customWidth="1"/>
    <col min="5" max="5" width="17.85546875" style="46" customWidth="1"/>
    <col min="6" max="6" width="10.42578125" style="48" bestFit="1" customWidth="1"/>
    <col min="7" max="7" width="4.42578125" style="48" bestFit="1" customWidth="1"/>
    <col min="8" max="8" width="8" style="48" bestFit="1" customWidth="1"/>
    <col min="9" max="9" width="5.140625" style="48" bestFit="1" customWidth="1"/>
    <col min="10" max="10" width="13.140625" style="48" customWidth="1"/>
    <col min="11" max="11" width="6.28515625" style="48" customWidth="1"/>
    <col min="12" max="12" width="9.85546875" style="48" bestFit="1" customWidth="1"/>
    <col min="13" max="13" width="3.5703125" style="48" bestFit="1" customWidth="1"/>
    <col min="14" max="16384" width="8.85546875" style="48"/>
  </cols>
  <sheetData>
    <row r="1" spans="3:13" ht="15.75" thickBot="1" x14ac:dyDescent="0.3"/>
    <row r="2" spans="3:13" x14ac:dyDescent="0.25">
      <c r="C2" s="49" t="s">
        <v>35</v>
      </c>
      <c r="D2" s="50"/>
      <c r="E2" s="51"/>
      <c r="F2" s="52"/>
      <c r="G2" s="52"/>
      <c r="H2" s="52"/>
      <c r="I2" s="52"/>
      <c r="J2" s="52"/>
      <c r="K2" s="52"/>
      <c r="L2" s="52"/>
      <c r="M2" s="53"/>
    </row>
    <row r="3" spans="3:13" x14ac:dyDescent="0.25">
      <c r="C3" s="54" t="s">
        <v>36</v>
      </c>
      <c r="D3" s="55" t="s">
        <v>37</v>
      </c>
      <c r="E3" s="56">
        <v>5000000</v>
      </c>
      <c r="M3" s="57"/>
    </row>
    <row r="4" spans="3:13" x14ac:dyDescent="0.25">
      <c r="C4" s="54" t="s">
        <v>38</v>
      </c>
      <c r="D4" s="55" t="s">
        <v>39</v>
      </c>
      <c r="E4" s="59">
        <v>0</v>
      </c>
      <c r="M4" s="57"/>
    </row>
    <row r="5" spans="3:13" x14ac:dyDescent="0.25">
      <c r="C5" s="54" t="s">
        <v>89</v>
      </c>
      <c r="D5" s="55" t="s">
        <v>41</v>
      </c>
      <c r="E5" s="59">
        <v>5.0000000000000001E-3</v>
      </c>
      <c r="M5" s="57"/>
    </row>
    <row r="6" spans="3:13" x14ac:dyDescent="0.25">
      <c r="C6" s="54" t="s">
        <v>90</v>
      </c>
      <c r="D6" s="55" t="s">
        <v>43</v>
      </c>
      <c r="E6" s="58">
        <v>0.15</v>
      </c>
      <c r="M6" s="57"/>
    </row>
    <row r="7" spans="3:13" x14ac:dyDescent="0.25">
      <c r="C7" s="54" t="s">
        <v>91</v>
      </c>
      <c r="D7" s="55" t="s">
        <v>92</v>
      </c>
      <c r="E7" s="58">
        <v>0.1</v>
      </c>
      <c r="M7" s="57"/>
    </row>
    <row r="8" spans="3:13" x14ac:dyDescent="0.25">
      <c r="C8" s="54" t="s">
        <v>42</v>
      </c>
      <c r="D8" s="55" t="s">
        <v>93</v>
      </c>
      <c r="E8" s="59">
        <v>2E-3</v>
      </c>
      <c r="M8" s="57"/>
    </row>
    <row r="9" spans="3:13" ht="15.75" thickBot="1" x14ac:dyDescent="0.3">
      <c r="C9" s="71"/>
      <c r="F9" s="60"/>
      <c r="M9" s="57"/>
    </row>
    <row r="10" spans="3:13" ht="15.75" thickBot="1" x14ac:dyDescent="0.3">
      <c r="C10" s="109" t="s">
        <v>94</v>
      </c>
      <c r="D10" s="110"/>
      <c r="E10" s="111"/>
      <c r="F10" s="125" t="s">
        <v>45</v>
      </c>
      <c r="G10" s="126"/>
      <c r="H10" s="125" t="s">
        <v>46</v>
      </c>
      <c r="I10" s="126"/>
      <c r="J10" s="125" t="s">
        <v>47</v>
      </c>
      <c r="K10" s="126"/>
      <c r="M10" s="57"/>
    </row>
    <row r="11" spans="3:13" x14ac:dyDescent="0.25">
      <c r="C11" s="109"/>
      <c r="D11" s="110"/>
      <c r="E11" s="110"/>
      <c r="F11" s="61" t="s">
        <v>48</v>
      </c>
      <c r="G11" s="62">
        <v>0.2</v>
      </c>
      <c r="H11" s="72" t="s">
        <v>49</v>
      </c>
      <c r="I11" s="73">
        <v>-0.2</v>
      </c>
      <c r="J11" s="72" t="s">
        <v>50</v>
      </c>
      <c r="K11" s="73">
        <v>0</v>
      </c>
      <c r="M11" s="57"/>
    </row>
    <row r="12" spans="3:13" x14ac:dyDescent="0.25">
      <c r="C12" s="54" t="s">
        <v>51</v>
      </c>
      <c r="D12" s="55" t="s">
        <v>52</v>
      </c>
      <c r="E12" s="64" t="s">
        <v>53</v>
      </c>
      <c r="F12" s="100">
        <f>+$E$3</f>
        <v>5000000</v>
      </c>
      <c r="G12" s="100"/>
      <c r="H12" s="100">
        <f>+$E$3</f>
        <v>5000000</v>
      </c>
      <c r="I12" s="100"/>
      <c r="J12" s="100">
        <f>+$E$3</f>
        <v>5000000</v>
      </c>
      <c r="K12" s="100"/>
      <c r="M12" s="57"/>
    </row>
    <row r="13" spans="3:13" x14ac:dyDescent="0.25">
      <c r="C13" s="54" t="s">
        <v>54</v>
      </c>
      <c r="D13" s="55" t="s">
        <v>55</v>
      </c>
      <c r="E13" s="64" t="s">
        <v>56</v>
      </c>
      <c r="F13" s="100">
        <f>F12*G11</f>
        <v>1000000</v>
      </c>
      <c r="G13" s="100"/>
      <c r="H13" s="100">
        <f>H12*I11</f>
        <v>-1000000</v>
      </c>
      <c r="I13" s="100"/>
      <c r="J13" s="107">
        <f>J12*K11</f>
        <v>0</v>
      </c>
      <c r="K13" s="107"/>
      <c r="M13" s="57"/>
    </row>
    <row r="14" spans="3:13" x14ac:dyDescent="0.25">
      <c r="C14" s="54" t="s">
        <v>57</v>
      </c>
      <c r="D14" s="55" t="s">
        <v>58</v>
      </c>
      <c r="E14" s="64" t="s">
        <v>59</v>
      </c>
      <c r="F14" s="100">
        <f>F12+F13</f>
        <v>6000000</v>
      </c>
      <c r="G14" s="100"/>
      <c r="H14" s="100">
        <f>H12+H13</f>
        <v>4000000</v>
      </c>
      <c r="I14" s="100"/>
      <c r="J14" s="100">
        <f>J12+J13</f>
        <v>5000000</v>
      </c>
      <c r="K14" s="100"/>
      <c r="M14" s="57"/>
    </row>
    <row r="15" spans="3:13" x14ac:dyDescent="0.25">
      <c r="C15" s="102"/>
      <c r="D15" s="103"/>
      <c r="E15" s="103"/>
      <c r="F15" s="103"/>
      <c r="G15" s="103"/>
      <c r="H15" s="103"/>
      <c r="I15" s="103"/>
      <c r="J15" s="103"/>
      <c r="K15" s="103"/>
      <c r="M15" s="57"/>
    </row>
    <row r="16" spans="3:13" x14ac:dyDescent="0.25">
      <c r="C16" s="54" t="s">
        <v>95</v>
      </c>
      <c r="D16" s="55" t="s">
        <v>61</v>
      </c>
      <c r="E16" s="64" t="s">
        <v>62</v>
      </c>
      <c r="F16" s="100">
        <f>(F12+F14)/2</f>
        <v>5500000</v>
      </c>
      <c r="G16" s="100"/>
      <c r="H16" s="100">
        <f>(H12+H14)/2</f>
        <v>4500000</v>
      </c>
      <c r="I16" s="100"/>
      <c r="J16" s="100">
        <f>(J12+J14)/2</f>
        <v>5000000</v>
      </c>
      <c r="K16" s="100"/>
      <c r="M16" s="57"/>
    </row>
    <row r="17" spans="3:13" x14ac:dyDescent="0.25">
      <c r="C17" s="102"/>
      <c r="D17" s="103"/>
      <c r="E17" s="103"/>
      <c r="F17" s="103"/>
      <c r="G17" s="103"/>
      <c r="H17" s="103"/>
      <c r="I17" s="103"/>
      <c r="J17" s="103"/>
      <c r="K17" s="103"/>
      <c r="M17" s="57"/>
    </row>
    <row r="18" spans="3:13" x14ac:dyDescent="0.25">
      <c r="C18" s="54" t="s">
        <v>63</v>
      </c>
      <c r="D18" s="55" t="s">
        <v>64</v>
      </c>
      <c r="E18" s="64" t="s">
        <v>65</v>
      </c>
      <c r="F18" s="100">
        <f>+F16*-$E$5</f>
        <v>-27500</v>
      </c>
      <c r="G18" s="100"/>
      <c r="H18" s="100">
        <f>+H16*-$E$5</f>
        <v>-22500</v>
      </c>
      <c r="I18" s="100"/>
      <c r="J18" s="100">
        <f>+J16*-$E$5</f>
        <v>-25000</v>
      </c>
      <c r="K18" s="100"/>
      <c r="M18" s="57"/>
    </row>
    <row r="19" spans="3:13" x14ac:dyDescent="0.25">
      <c r="C19" s="54" t="s">
        <v>42</v>
      </c>
      <c r="D19" s="55" t="s">
        <v>66</v>
      </c>
      <c r="E19" s="64" t="s">
        <v>96</v>
      </c>
      <c r="F19" s="100">
        <f>+F16*-$E$8</f>
        <v>-11000</v>
      </c>
      <c r="G19" s="100"/>
      <c r="H19" s="100">
        <f>+H16*-$E$8</f>
        <v>-9000</v>
      </c>
      <c r="I19" s="100"/>
      <c r="J19" s="100">
        <f>+J16*-$E$8</f>
        <v>-10000</v>
      </c>
      <c r="K19" s="100"/>
      <c r="M19" s="57"/>
    </row>
    <row r="20" spans="3:13" x14ac:dyDescent="0.25">
      <c r="C20" s="54" t="s">
        <v>68</v>
      </c>
      <c r="D20" s="55" t="s">
        <v>69</v>
      </c>
      <c r="E20" s="18" t="s">
        <v>70</v>
      </c>
      <c r="F20" s="100">
        <f>+(F16+F18+F19)*-$E$4</f>
        <v>0</v>
      </c>
      <c r="G20" s="100"/>
      <c r="H20" s="100">
        <f>+(H16+H18+H19)*-$E$4</f>
        <v>0</v>
      </c>
      <c r="I20" s="100"/>
      <c r="J20" s="100">
        <f>+(J16+J18+J19)*-$E$4</f>
        <v>0</v>
      </c>
      <c r="K20" s="100"/>
      <c r="M20" s="57"/>
    </row>
    <row r="21" spans="3:13" x14ac:dyDescent="0.25">
      <c r="C21" s="54" t="s">
        <v>97</v>
      </c>
      <c r="D21" s="55" t="s">
        <v>72</v>
      </c>
      <c r="E21" s="18" t="s">
        <v>73</v>
      </c>
      <c r="F21" s="100">
        <f>+F18+F20+F19</f>
        <v>-38500</v>
      </c>
      <c r="G21" s="100"/>
      <c r="H21" s="100">
        <f>+H18+H20+H19</f>
        <v>-31500</v>
      </c>
      <c r="I21" s="100"/>
      <c r="J21" s="100">
        <f>+J18+J20+J19</f>
        <v>-35000</v>
      </c>
      <c r="K21" s="100"/>
      <c r="M21" s="57"/>
    </row>
    <row r="22" spans="3:13" x14ac:dyDescent="0.25">
      <c r="C22" s="102"/>
      <c r="D22" s="103"/>
      <c r="E22" s="103"/>
      <c r="F22" s="103"/>
      <c r="G22" s="103"/>
      <c r="H22" s="103"/>
      <c r="I22" s="103"/>
      <c r="J22" s="103"/>
      <c r="K22" s="103"/>
      <c r="M22" s="57"/>
    </row>
    <row r="23" spans="3:13" x14ac:dyDescent="0.25">
      <c r="C23" s="54" t="s">
        <v>98</v>
      </c>
      <c r="D23" s="55" t="s">
        <v>75</v>
      </c>
      <c r="E23" s="18" t="s">
        <v>76</v>
      </c>
      <c r="F23" s="100">
        <f>F14+F21</f>
        <v>5961500</v>
      </c>
      <c r="G23" s="100"/>
      <c r="H23" s="100">
        <f>H14+H21</f>
        <v>3968500</v>
      </c>
      <c r="I23" s="100"/>
      <c r="J23" s="100">
        <f>J14+J21</f>
        <v>4965000</v>
      </c>
      <c r="K23" s="100"/>
      <c r="M23" s="57"/>
    </row>
    <row r="24" spans="3:13" ht="45" x14ac:dyDescent="0.25">
      <c r="C24" s="54" t="s">
        <v>99</v>
      </c>
      <c r="D24" s="55" t="s">
        <v>78</v>
      </c>
      <c r="E24" s="18"/>
      <c r="F24" s="100">
        <f>F12</f>
        <v>5000000</v>
      </c>
      <c r="G24" s="100"/>
      <c r="H24" s="100">
        <f>H12</f>
        <v>5000000</v>
      </c>
      <c r="I24" s="100"/>
      <c r="J24" s="100">
        <f>J12</f>
        <v>5000000</v>
      </c>
      <c r="K24" s="100"/>
      <c r="M24" s="57"/>
    </row>
    <row r="25" spans="3:13" x14ac:dyDescent="0.25">
      <c r="C25" s="74" t="s">
        <v>100</v>
      </c>
      <c r="D25" s="55" t="s">
        <v>101</v>
      </c>
      <c r="E25" s="75" t="s">
        <v>102</v>
      </c>
      <c r="F25" s="100">
        <f>(F24*$E$7)</f>
        <v>500000</v>
      </c>
      <c r="G25" s="100"/>
      <c r="H25" s="100">
        <f>(H24*$E$7)</f>
        <v>500000</v>
      </c>
      <c r="I25" s="100"/>
      <c r="J25" s="100">
        <f>(J24*$E$7)</f>
        <v>500000</v>
      </c>
      <c r="K25" s="100"/>
      <c r="M25" s="57"/>
    </row>
    <row r="26" spans="3:13" ht="45" x14ac:dyDescent="0.25">
      <c r="C26" s="54" t="s">
        <v>103</v>
      </c>
      <c r="D26" s="55" t="s">
        <v>104</v>
      </c>
      <c r="E26" s="18" t="s">
        <v>105</v>
      </c>
      <c r="F26" s="100" t="str">
        <f>IF(F23&gt;(F24+F25),("Yes"),("No Pfee"))</f>
        <v>Yes</v>
      </c>
      <c r="G26" s="100"/>
      <c r="H26" s="100" t="str">
        <f>IF(H23&gt;(H24+H25),("Yes"),("No Pfee"))</f>
        <v>No Pfee</v>
      </c>
      <c r="I26" s="100"/>
      <c r="J26" s="100" t="str">
        <f>IF(J23&gt;(J24+J25),("Yes"),("No Pfee"))</f>
        <v>No Pfee</v>
      </c>
      <c r="K26" s="100"/>
      <c r="M26" s="57"/>
    </row>
    <row r="27" spans="3:13" x14ac:dyDescent="0.25">
      <c r="C27" s="123" t="s">
        <v>106</v>
      </c>
      <c r="D27" s="124"/>
      <c r="E27" s="124"/>
      <c r="F27" s="124"/>
      <c r="G27" s="124"/>
      <c r="H27" s="124"/>
      <c r="I27" s="124"/>
      <c r="J27" s="124"/>
      <c r="K27" s="124"/>
      <c r="M27" s="57"/>
    </row>
    <row r="28" spans="3:13" x14ac:dyDescent="0.25">
      <c r="C28" s="54" t="s">
        <v>107</v>
      </c>
      <c r="D28" s="55" t="s">
        <v>108</v>
      </c>
      <c r="E28" s="18" t="s">
        <v>109</v>
      </c>
      <c r="F28" s="100">
        <f>+IF(F26="Yes",(F23-F24-F25),(0))</f>
        <v>461500</v>
      </c>
      <c r="G28" s="100"/>
      <c r="H28" s="100">
        <f>+IF(H26="Yes",(H23-H24-H25),(0))</f>
        <v>0</v>
      </c>
      <c r="I28" s="100"/>
      <c r="J28" s="100">
        <f>+IF(J26="Yes",(J23-J24-J25),(0))</f>
        <v>0</v>
      </c>
      <c r="K28" s="100"/>
      <c r="M28" s="57"/>
    </row>
    <row r="29" spans="3:13" x14ac:dyDescent="0.25">
      <c r="C29" s="74" t="s">
        <v>110</v>
      </c>
      <c r="D29" s="55" t="s">
        <v>111</v>
      </c>
      <c r="E29" s="75" t="s">
        <v>112</v>
      </c>
      <c r="F29" s="100">
        <f>+F28*-$E$6</f>
        <v>-69225</v>
      </c>
      <c r="G29" s="100"/>
      <c r="H29" s="100">
        <f>+H28*-$E$6</f>
        <v>0</v>
      </c>
      <c r="I29" s="100"/>
      <c r="J29" s="100">
        <f>+J28*-$E$6</f>
        <v>0</v>
      </c>
      <c r="K29" s="100"/>
      <c r="M29" s="57"/>
    </row>
    <row r="30" spans="3:13" x14ac:dyDescent="0.25">
      <c r="C30" s="65"/>
      <c r="D30" s="55"/>
      <c r="E30" s="55"/>
      <c r="F30" s="55"/>
      <c r="G30" s="55"/>
      <c r="H30" s="55"/>
      <c r="I30" s="55"/>
      <c r="J30" s="55"/>
      <c r="K30" s="55"/>
      <c r="M30" s="57"/>
    </row>
    <row r="31" spans="3:13" ht="30" x14ac:dyDescent="0.25">
      <c r="C31" s="54" t="s">
        <v>113</v>
      </c>
      <c r="D31" s="55" t="s">
        <v>114</v>
      </c>
      <c r="E31" s="18" t="s">
        <v>115</v>
      </c>
      <c r="F31" s="100">
        <f>+F23+F29</f>
        <v>5892275</v>
      </c>
      <c r="G31" s="100"/>
      <c r="H31" s="100">
        <f>+H23+H29</f>
        <v>3968500</v>
      </c>
      <c r="I31" s="100"/>
      <c r="J31" s="100">
        <f>+J23+J29</f>
        <v>4965000</v>
      </c>
      <c r="K31" s="100"/>
      <c r="M31" s="57"/>
    </row>
    <row r="32" spans="3:13" x14ac:dyDescent="0.25">
      <c r="C32" s="54" t="s">
        <v>77</v>
      </c>
      <c r="D32" s="55" t="s">
        <v>116</v>
      </c>
      <c r="E32" s="18" t="s">
        <v>117</v>
      </c>
      <c r="F32" s="95">
        <f>+F31/F12-1</f>
        <v>0.17845500000000003</v>
      </c>
      <c r="G32" s="95"/>
      <c r="H32" s="95">
        <f>+H31/H12-1</f>
        <v>-0.20630000000000004</v>
      </c>
      <c r="I32" s="95"/>
      <c r="J32" s="95">
        <f>+J31/J12-1</f>
        <v>-7.0000000000000062E-3</v>
      </c>
      <c r="K32" s="95"/>
      <c r="M32" s="57"/>
    </row>
    <row r="33" spans="2:13" x14ac:dyDescent="0.25">
      <c r="C33" s="65"/>
      <c r="D33" s="55"/>
      <c r="E33" s="55"/>
      <c r="F33" s="55"/>
      <c r="G33" s="55"/>
      <c r="H33" s="55"/>
      <c r="I33" s="55"/>
      <c r="J33" s="55"/>
      <c r="K33" s="55"/>
      <c r="M33" s="57"/>
    </row>
    <row r="34" spans="2:13" ht="45" x14ac:dyDescent="0.25">
      <c r="C34" s="54" t="s">
        <v>118</v>
      </c>
      <c r="D34" s="55" t="s">
        <v>119</v>
      </c>
      <c r="E34" s="18" t="s">
        <v>120</v>
      </c>
      <c r="F34" s="100">
        <f>MAX(F24,F31)</f>
        <v>5892275</v>
      </c>
      <c r="G34" s="100"/>
      <c r="H34" s="100">
        <f>MAX(H24,H31)</f>
        <v>5000000</v>
      </c>
      <c r="I34" s="100"/>
      <c r="J34" s="100">
        <f>MAX(J24,J31)</f>
        <v>5000000</v>
      </c>
      <c r="K34" s="100"/>
      <c r="M34" s="57"/>
    </row>
    <row r="35" spans="2:13" ht="45" x14ac:dyDescent="0.25">
      <c r="C35" s="54" t="s">
        <v>121</v>
      </c>
      <c r="D35" s="55" t="s">
        <v>119</v>
      </c>
      <c r="E35" s="18" t="s">
        <v>122</v>
      </c>
      <c r="F35" s="100">
        <f>MAX(F24,F23)</f>
        <v>5961500</v>
      </c>
      <c r="G35" s="100"/>
      <c r="H35" s="100">
        <f>MAX(H24,H23)</f>
        <v>5000000</v>
      </c>
      <c r="I35" s="100"/>
      <c r="J35" s="100">
        <f>MAX(J24,J23)</f>
        <v>5000000</v>
      </c>
      <c r="K35" s="100"/>
      <c r="M35" s="57"/>
    </row>
    <row r="36" spans="2:13" x14ac:dyDescent="0.25">
      <c r="C36" s="71"/>
      <c r="F36" s="76"/>
      <c r="G36" s="76"/>
      <c r="H36" s="76"/>
      <c r="I36" s="76"/>
      <c r="J36" s="76"/>
      <c r="K36" s="76"/>
      <c r="L36" s="76"/>
      <c r="M36" s="77"/>
    </row>
    <row r="37" spans="2:13" ht="15.75" thickBot="1" x14ac:dyDescent="0.3">
      <c r="B37" s="78"/>
      <c r="C37" s="120" t="s">
        <v>80</v>
      </c>
      <c r="D37" s="121"/>
      <c r="E37" s="121"/>
      <c r="F37" s="121"/>
      <c r="G37" s="121"/>
      <c r="H37" s="121"/>
      <c r="I37" s="121"/>
      <c r="J37" s="121"/>
      <c r="K37" s="121"/>
      <c r="L37" s="121"/>
      <c r="M37" s="122"/>
    </row>
    <row r="38" spans="2:13" ht="47.25" customHeight="1" thickBot="1" x14ac:dyDescent="0.3">
      <c r="B38" s="79">
        <v>1</v>
      </c>
      <c r="C38" s="114" t="s">
        <v>123</v>
      </c>
      <c r="D38" s="115"/>
      <c r="E38" s="115"/>
      <c r="F38" s="115"/>
      <c r="G38" s="115"/>
      <c r="H38" s="115"/>
      <c r="I38" s="115"/>
      <c r="J38" s="115"/>
      <c r="K38" s="115"/>
      <c r="L38" s="115"/>
      <c r="M38" s="116"/>
    </row>
    <row r="39" spans="2:13" ht="47.25" customHeight="1" thickBot="1" x14ac:dyDescent="0.3">
      <c r="B39" s="79">
        <f t="shared" ref="B39:B48" si="0">+B38+1</f>
        <v>2</v>
      </c>
      <c r="C39" s="114" t="s">
        <v>124</v>
      </c>
      <c r="D39" s="115"/>
      <c r="E39" s="115"/>
      <c r="F39" s="115"/>
      <c r="G39" s="115"/>
      <c r="H39" s="115"/>
      <c r="I39" s="115"/>
      <c r="J39" s="115"/>
      <c r="K39" s="115"/>
      <c r="L39" s="115"/>
      <c r="M39" s="116"/>
    </row>
    <row r="40" spans="2:13" ht="47.25" customHeight="1" thickBot="1" x14ac:dyDescent="0.3">
      <c r="B40" s="79">
        <f t="shared" si="0"/>
        <v>3</v>
      </c>
      <c r="C40" s="114" t="s">
        <v>83</v>
      </c>
      <c r="D40" s="115"/>
      <c r="E40" s="115"/>
      <c r="F40" s="115"/>
      <c r="G40" s="115"/>
      <c r="H40" s="115"/>
      <c r="I40" s="115"/>
      <c r="J40" s="115"/>
      <c r="K40" s="115"/>
      <c r="L40" s="115"/>
      <c r="M40" s="116"/>
    </row>
    <row r="41" spans="2:13" ht="47.25" customHeight="1" thickBot="1" x14ac:dyDescent="0.3">
      <c r="B41" s="79">
        <f t="shared" si="0"/>
        <v>4</v>
      </c>
      <c r="C41" s="117" t="s">
        <v>84</v>
      </c>
      <c r="D41" s="118"/>
      <c r="E41" s="118"/>
      <c r="F41" s="118"/>
      <c r="G41" s="118"/>
      <c r="H41" s="118"/>
      <c r="I41" s="118"/>
      <c r="J41" s="118"/>
      <c r="K41" s="118"/>
      <c r="L41" s="118"/>
      <c r="M41" s="119"/>
    </row>
    <row r="42" spans="2:13" ht="47.25" customHeight="1" thickBot="1" x14ac:dyDescent="0.3">
      <c r="B42" s="79">
        <f t="shared" si="0"/>
        <v>5</v>
      </c>
      <c r="C42" s="114" t="s">
        <v>85</v>
      </c>
      <c r="D42" s="115"/>
      <c r="E42" s="115"/>
      <c r="F42" s="115"/>
      <c r="G42" s="115"/>
      <c r="H42" s="115"/>
      <c r="I42" s="115"/>
      <c r="J42" s="115"/>
      <c r="K42" s="115"/>
      <c r="L42" s="115"/>
      <c r="M42" s="116"/>
    </row>
    <row r="43" spans="2:13" ht="47.25" customHeight="1" thickBot="1" x14ac:dyDescent="0.3">
      <c r="B43" s="79">
        <f t="shared" si="0"/>
        <v>6</v>
      </c>
      <c r="C43" s="114" t="s">
        <v>86</v>
      </c>
      <c r="D43" s="115"/>
      <c r="E43" s="115"/>
      <c r="F43" s="115"/>
      <c r="G43" s="115"/>
      <c r="H43" s="115"/>
      <c r="I43" s="115"/>
      <c r="J43" s="115"/>
      <c r="K43" s="115"/>
      <c r="L43" s="115"/>
      <c r="M43" s="116"/>
    </row>
    <row r="44" spans="2:13" ht="47.25" customHeight="1" thickBot="1" x14ac:dyDescent="0.3">
      <c r="B44" s="79">
        <f t="shared" si="0"/>
        <v>7</v>
      </c>
      <c r="C44" s="114" t="s">
        <v>125</v>
      </c>
      <c r="D44" s="115"/>
      <c r="E44" s="115"/>
      <c r="F44" s="115"/>
      <c r="G44" s="115"/>
      <c r="H44" s="115"/>
      <c r="I44" s="115"/>
      <c r="J44" s="115"/>
      <c r="K44" s="115"/>
      <c r="L44" s="115"/>
      <c r="M44" s="116"/>
    </row>
    <row r="45" spans="2:13" ht="47.25" customHeight="1" thickBot="1" x14ac:dyDescent="0.3">
      <c r="B45" s="79">
        <f t="shared" si="0"/>
        <v>8</v>
      </c>
      <c r="C45" s="114" t="s">
        <v>126</v>
      </c>
      <c r="D45" s="115"/>
      <c r="E45" s="115"/>
      <c r="F45" s="115"/>
      <c r="G45" s="115"/>
      <c r="H45" s="115"/>
      <c r="I45" s="115"/>
      <c r="J45" s="115"/>
      <c r="K45" s="115"/>
      <c r="L45" s="115"/>
      <c r="M45" s="116"/>
    </row>
    <row r="46" spans="2:13" ht="47.25" customHeight="1" thickBot="1" x14ac:dyDescent="0.3">
      <c r="B46" s="79">
        <f t="shared" si="0"/>
        <v>9</v>
      </c>
      <c r="C46" s="114" t="s">
        <v>127</v>
      </c>
      <c r="D46" s="115"/>
      <c r="E46" s="115"/>
      <c r="F46" s="115"/>
      <c r="G46" s="115"/>
      <c r="H46" s="115"/>
      <c r="I46" s="115"/>
      <c r="J46" s="115"/>
      <c r="K46" s="115"/>
      <c r="L46" s="115"/>
      <c r="M46" s="116"/>
    </row>
    <row r="47" spans="2:13" ht="47.25" customHeight="1" thickBot="1" x14ac:dyDescent="0.3">
      <c r="B47" s="79">
        <f t="shared" si="0"/>
        <v>10</v>
      </c>
      <c r="C47" s="114" t="s">
        <v>128</v>
      </c>
      <c r="D47" s="115"/>
      <c r="E47" s="115"/>
      <c r="F47" s="115"/>
      <c r="G47" s="115"/>
      <c r="H47" s="115"/>
      <c r="I47" s="115"/>
      <c r="J47" s="115"/>
      <c r="K47" s="115"/>
      <c r="L47" s="115"/>
      <c r="M47" s="116"/>
    </row>
    <row r="48" spans="2:13" ht="47.25" customHeight="1" thickBot="1" x14ac:dyDescent="0.3">
      <c r="B48" s="79">
        <f t="shared" si="0"/>
        <v>11</v>
      </c>
      <c r="C48" s="114" t="s">
        <v>87</v>
      </c>
      <c r="D48" s="115"/>
      <c r="E48" s="115"/>
      <c r="F48" s="115"/>
      <c r="G48" s="115"/>
      <c r="H48" s="115"/>
      <c r="I48" s="115"/>
      <c r="J48" s="115"/>
      <c r="K48" s="115"/>
      <c r="L48" s="115"/>
      <c r="M48" s="116"/>
    </row>
    <row r="49" spans="2:13" ht="47.25" customHeight="1" thickBot="1" x14ac:dyDescent="0.3">
      <c r="B49" s="79">
        <v>12</v>
      </c>
      <c r="C49" s="89" t="s">
        <v>88</v>
      </c>
      <c r="D49" s="90"/>
      <c r="E49" s="90"/>
      <c r="F49" s="90"/>
      <c r="G49" s="90"/>
      <c r="H49" s="90"/>
      <c r="I49" s="90"/>
      <c r="J49" s="90"/>
      <c r="K49" s="90"/>
      <c r="L49" s="90"/>
      <c r="M49" s="91"/>
    </row>
  </sheetData>
  <mergeCells count="75">
    <mergeCell ref="C10:E11"/>
    <mergeCell ref="F10:G10"/>
    <mergeCell ref="H10:I10"/>
    <mergeCell ref="J10:K10"/>
    <mergeCell ref="F12:G12"/>
    <mergeCell ref="H12:I12"/>
    <mergeCell ref="J12:K12"/>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F19:G19"/>
    <mergeCell ref="H19:I19"/>
    <mergeCell ref="J19:K19"/>
    <mergeCell ref="F20:G20"/>
    <mergeCell ref="H20:I20"/>
    <mergeCell ref="J20:K20"/>
    <mergeCell ref="F21:G21"/>
    <mergeCell ref="H21:I21"/>
    <mergeCell ref="J21:K21"/>
    <mergeCell ref="C22:K22"/>
    <mergeCell ref="F23:G23"/>
    <mergeCell ref="H23:I23"/>
    <mergeCell ref="J23:K23"/>
    <mergeCell ref="F24:G24"/>
    <mergeCell ref="H24:I24"/>
    <mergeCell ref="J24:K24"/>
    <mergeCell ref="F25:G25"/>
    <mergeCell ref="H25:I25"/>
    <mergeCell ref="J25:K25"/>
    <mergeCell ref="F26:G26"/>
    <mergeCell ref="H26:I26"/>
    <mergeCell ref="J26:K26"/>
    <mergeCell ref="C27:K27"/>
    <mergeCell ref="F28:G28"/>
    <mergeCell ref="H28:I28"/>
    <mergeCell ref="J28:K28"/>
    <mergeCell ref="F29:G29"/>
    <mergeCell ref="H29:I29"/>
    <mergeCell ref="J29:K29"/>
    <mergeCell ref="F31:G31"/>
    <mergeCell ref="H31:I31"/>
    <mergeCell ref="J31:K31"/>
    <mergeCell ref="C39:M39"/>
    <mergeCell ref="F32:G32"/>
    <mergeCell ref="H32:I32"/>
    <mergeCell ref="J32:K32"/>
    <mergeCell ref="F34:G34"/>
    <mergeCell ref="H34:I34"/>
    <mergeCell ref="J34:K34"/>
    <mergeCell ref="F35:G35"/>
    <mergeCell ref="H35:I35"/>
    <mergeCell ref="J35:K35"/>
    <mergeCell ref="C37:M37"/>
    <mergeCell ref="C38:M38"/>
    <mergeCell ref="C46:M46"/>
    <mergeCell ref="C47:M47"/>
    <mergeCell ref="C48:M48"/>
    <mergeCell ref="C49:M49"/>
    <mergeCell ref="C40:M40"/>
    <mergeCell ref="C41:M41"/>
    <mergeCell ref="C42:M42"/>
    <mergeCell ref="C43:M43"/>
    <mergeCell ref="C44:M44"/>
    <mergeCell ref="C45:M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AC7BE-5291-49DA-B365-BCE02AFB6C72}">
  <dimension ref="B1:M49"/>
  <sheetViews>
    <sheetView tabSelected="1" workbookViewId="0">
      <selection activeCell="C52" sqref="C52"/>
    </sheetView>
  </sheetViews>
  <sheetFormatPr defaultColWidth="8.85546875" defaultRowHeight="15" x14ac:dyDescent="0.25"/>
  <cols>
    <col min="1" max="1" width="8.85546875" style="48"/>
    <col min="2" max="2" width="5.42578125" style="45" customWidth="1"/>
    <col min="3" max="3" width="56.140625" style="46" customWidth="1"/>
    <col min="4" max="4" width="4.5703125" style="47" customWidth="1"/>
    <col min="5" max="5" width="17.85546875" style="46" customWidth="1"/>
    <col min="6" max="6" width="10.42578125" style="48" bestFit="1" customWidth="1"/>
    <col min="7" max="7" width="4.42578125" style="48" bestFit="1" customWidth="1"/>
    <col min="8" max="8" width="10.42578125" style="48" customWidth="1"/>
    <col min="9" max="9" width="5.140625" style="48" bestFit="1" customWidth="1"/>
    <col min="10" max="10" width="12.28515625" style="48" customWidth="1"/>
    <col min="11" max="11" width="3.5703125" style="48" bestFit="1" customWidth="1"/>
    <col min="12" max="12" width="9.85546875" style="48" bestFit="1" customWidth="1"/>
    <col min="13" max="13" width="3.5703125" style="48" bestFit="1" customWidth="1"/>
    <col min="14" max="16384" width="8.85546875" style="48"/>
  </cols>
  <sheetData>
    <row r="1" spans="3:13" ht="15.75" thickBot="1" x14ac:dyDescent="0.3"/>
    <row r="2" spans="3:13" x14ac:dyDescent="0.25">
      <c r="C2" s="49" t="s">
        <v>35</v>
      </c>
      <c r="D2" s="50"/>
      <c r="E2" s="51"/>
      <c r="F2" s="52"/>
      <c r="G2" s="52"/>
      <c r="H2" s="52"/>
      <c r="I2" s="52"/>
      <c r="J2" s="52"/>
      <c r="K2" s="52"/>
      <c r="L2" s="52"/>
      <c r="M2" s="53"/>
    </row>
    <row r="3" spans="3:13" x14ac:dyDescent="0.25">
      <c r="C3" s="54" t="s">
        <v>36</v>
      </c>
      <c r="D3" s="55" t="s">
        <v>37</v>
      </c>
      <c r="E3" s="56">
        <v>5000000</v>
      </c>
      <c r="M3" s="57"/>
    </row>
    <row r="4" spans="3:13" x14ac:dyDescent="0.25">
      <c r="C4" s="54" t="s">
        <v>38</v>
      </c>
      <c r="D4" s="55" t="s">
        <v>39</v>
      </c>
      <c r="E4" s="58">
        <v>1.4999999999999999E-2</v>
      </c>
      <c r="M4" s="57"/>
    </row>
    <row r="5" spans="3:13" x14ac:dyDescent="0.25">
      <c r="C5" s="54" t="s">
        <v>89</v>
      </c>
      <c r="D5" s="55" t="s">
        <v>41</v>
      </c>
      <c r="E5" s="59">
        <v>5.0000000000000001E-3</v>
      </c>
      <c r="M5" s="57"/>
    </row>
    <row r="6" spans="3:13" x14ac:dyDescent="0.25">
      <c r="C6" s="54" t="s">
        <v>90</v>
      </c>
      <c r="D6" s="55" t="s">
        <v>43</v>
      </c>
      <c r="E6" s="58">
        <v>0.15</v>
      </c>
      <c r="M6" s="57"/>
    </row>
    <row r="7" spans="3:13" x14ac:dyDescent="0.25">
      <c r="C7" s="54" t="s">
        <v>91</v>
      </c>
      <c r="D7" s="55" t="s">
        <v>92</v>
      </c>
      <c r="E7" s="58">
        <v>0.1</v>
      </c>
      <c r="M7" s="57"/>
    </row>
    <row r="8" spans="3:13" x14ac:dyDescent="0.25">
      <c r="C8" s="54" t="s">
        <v>42</v>
      </c>
      <c r="D8" s="55" t="s">
        <v>93</v>
      </c>
      <c r="E8" s="59">
        <v>2E-3</v>
      </c>
      <c r="M8" s="57"/>
    </row>
    <row r="9" spans="3:13" x14ac:dyDescent="0.25">
      <c r="C9" s="54"/>
      <c r="D9" s="55"/>
      <c r="E9" s="18"/>
      <c r="F9" s="60"/>
      <c r="M9" s="57"/>
    </row>
    <row r="10" spans="3:13" x14ac:dyDescent="0.25">
      <c r="C10" s="109" t="s">
        <v>94</v>
      </c>
      <c r="D10" s="110"/>
      <c r="E10" s="110"/>
      <c r="F10" s="112" t="s">
        <v>45</v>
      </c>
      <c r="G10" s="112"/>
      <c r="H10" s="112" t="s">
        <v>46</v>
      </c>
      <c r="I10" s="112"/>
      <c r="J10" s="112" t="s">
        <v>47</v>
      </c>
      <c r="K10" s="112"/>
      <c r="M10" s="57"/>
    </row>
    <row r="11" spans="3:13" x14ac:dyDescent="0.25">
      <c r="C11" s="109"/>
      <c r="D11" s="110"/>
      <c r="E11" s="110"/>
      <c r="F11" s="72" t="s">
        <v>48</v>
      </c>
      <c r="G11" s="73">
        <v>0.2</v>
      </c>
      <c r="H11" s="72" t="s">
        <v>49</v>
      </c>
      <c r="I11" s="73">
        <v>-0.2</v>
      </c>
      <c r="J11" s="72" t="s">
        <v>50</v>
      </c>
      <c r="K11" s="73">
        <v>0</v>
      </c>
      <c r="M11" s="57"/>
    </row>
    <row r="12" spans="3:13" x14ac:dyDescent="0.25">
      <c r="C12" s="54" t="s">
        <v>51</v>
      </c>
      <c r="D12" s="55" t="s">
        <v>52</v>
      </c>
      <c r="E12" s="64" t="s">
        <v>53</v>
      </c>
      <c r="F12" s="100">
        <f>+$E$3</f>
        <v>5000000</v>
      </c>
      <c r="G12" s="100"/>
      <c r="H12" s="100">
        <f>+$E$3</f>
        <v>5000000</v>
      </c>
      <c r="I12" s="100"/>
      <c r="J12" s="100">
        <f>+$E$3</f>
        <v>5000000</v>
      </c>
      <c r="K12" s="100"/>
      <c r="M12" s="57"/>
    </row>
    <row r="13" spans="3:13" x14ac:dyDescent="0.25">
      <c r="C13" s="54" t="s">
        <v>54</v>
      </c>
      <c r="D13" s="55" t="s">
        <v>55</v>
      </c>
      <c r="E13" s="64" t="s">
        <v>56</v>
      </c>
      <c r="F13" s="100">
        <f>F12*G11</f>
        <v>1000000</v>
      </c>
      <c r="G13" s="100"/>
      <c r="H13" s="100">
        <f>H12*I11</f>
        <v>-1000000</v>
      </c>
      <c r="I13" s="100"/>
      <c r="J13" s="107">
        <f>J12*K11</f>
        <v>0</v>
      </c>
      <c r="K13" s="107"/>
      <c r="M13" s="57"/>
    </row>
    <row r="14" spans="3:13" x14ac:dyDescent="0.25">
      <c r="C14" s="54" t="s">
        <v>57</v>
      </c>
      <c r="D14" s="55" t="s">
        <v>58</v>
      </c>
      <c r="E14" s="64" t="s">
        <v>59</v>
      </c>
      <c r="F14" s="100">
        <f>F12+F13</f>
        <v>6000000</v>
      </c>
      <c r="G14" s="100"/>
      <c r="H14" s="100">
        <f>H12+H13</f>
        <v>4000000</v>
      </c>
      <c r="I14" s="100"/>
      <c r="J14" s="100">
        <f>J12+J13</f>
        <v>5000000</v>
      </c>
      <c r="K14" s="100"/>
      <c r="M14" s="57"/>
    </row>
    <row r="15" spans="3:13" x14ac:dyDescent="0.25">
      <c r="C15" s="102"/>
      <c r="D15" s="103"/>
      <c r="E15" s="103"/>
      <c r="F15" s="103"/>
      <c r="G15" s="103"/>
      <c r="H15" s="103"/>
      <c r="I15" s="103"/>
      <c r="J15" s="103"/>
      <c r="K15" s="103"/>
      <c r="M15" s="57"/>
    </row>
    <row r="16" spans="3:13" x14ac:dyDescent="0.25">
      <c r="C16" s="54" t="s">
        <v>95</v>
      </c>
      <c r="D16" s="55" t="s">
        <v>61</v>
      </c>
      <c r="E16" s="64" t="s">
        <v>62</v>
      </c>
      <c r="F16" s="105">
        <f>(F12+F14)/2</f>
        <v>5500000</v>
      </c>
      <c r="G16" s="105"/>
      <c r="H16" s="105">
        <f>(H12+H14)/2</f>
        <v>4500000</v>
      </c>
      <c r="I16" s="105"/>
      <c r="J16" s="105">
        <f>(J12+J14)/2</f>
        <v>5000000</v>
      </c>
      <c r="K16" s="105"/>
      <c r="M16" s="57"/>
    </row>
    <row r="17" spans="3:13" x14ac:dyDescent="0.25">
      <c r="C17" s="102"/>
      <c r="D17" s="103"/>
      <c r="E17" s="103"/>
      <c r="F17" s="103"/>
      <c r="G17" s="103"/>
      <c r="H17" s="103"/>
      <c r="I17" s="103"/>
      <c r="J17" s="103"/>
      <c r="K17" s="103"/>
      <c r="M17" s="57"/>
    </row>
    <row r="18" spans="3:13" x14ac:dyDescent="0.25">
      <c r="C18" s="54" t="s">
        <v>63</v>
      </c>
      <c r="D18" s="55" t="s">
        <v>64</v>
      </c>
      <c r="E18" s="64" t="s">
        <v>65</v>
      </c>
      <c r="F18" s="100">
        <f>+F16*-$E$5</f>
        <v>-27500</v>
      </c>
      <c r="G18" s="100"/>
      <c r="H18" s="100">
        <f>+H16*-$E$5</f>
        <v>-22500</v>
      </c>
      <c r="I18" s="100"/>
      <c r="J18" s="100">
        <f>+J16*-$E$5</f>
        <v>-25000</v>
      </c>
      <c r="K18" s="100"/>
      <c r="M18" s="57"/>
    </row>
    <row r="19" spans="3:13" x14ac:dyDescent="0.25">
      <c r="C19" s="54" t="s">
        <v>42</v>
      </c>
      <c r="D19" s="55" t="s">
        <v>66</v>
      </c>
      <c r="E19" s="64" t="s">
        <v>96</v>
      </c>
      <c r="F19" s="100">
        <f>+F16*-$E$8</f>
        <v>-11000</v>
      </c>
      <c r="G19" s="100"/>
      <c r="H19" s="100">
        <f>+H16*-$E$8</f>
        <v>-9000</v>
      </c>
      <c r="I19" s="100"/>
      <c r="J19" s="100">
        <f>+J16*-$E$8</f>
        <v>-10000</v>
      </c>
      <c r="K19" s="100"/>
      <c r="M19" s="57"/>
    </row>
    <row r="20" spans="3:13" x14ac:dyDescent="0.25">
      <c r="C20" s="54" t="s">
        <v>68</v>
      </c>
      <c r="D20" s="55" t="s">
        <v>69</v>
      </c>
      <c r="E20" s="18" t="s">
        <v>70</v>
      </c>
      <c r="F20" s="100">
        <f>+(F16+F18+F19)*-$E$4</f>
        <v>-81922.5</v>
      </c>
      <c r="G20" s="100"/>
      <c r="H20" s="100">
        <f>+(H16+H18+H19)*-$E$4</f>
        <v>-67027.5</v>
      </c>
      <c r="I20" s="100"/>
      <c r="J20" s="100">
        <f>+(J16+J18+J19)*-$E$4</f>
        <v>-74475</v>
      </c>
      <c r="K20" s="100"/>
      <c r="M20" s="57"/>
    </row>
    <row r="21" spans="3:13" x14ac:dyDescent="0.25">
      <c r="C21" s="54" t="s">
        <v>97</v>
      </c>
      <c r="D21" s="55" t="s">
        <v>72</v>
      </c>
      <c r="E21" s="18" t="s">
        <v>73</v>
      </c>
      <c r="F21" s="100">
        <f>+F18+F20+F19</f>
        <v>-120422.5</v>
      </c>
      <c r="G21" s="100"/>
      <c r="H21" s="100">
        <f>+H18+H20+H19</f>
        <v>-98527.5</v>
      </c>
      <c r="I21" s="100"/>
      <c r="J21" s="100">
        <f>+J18+J20+J19</f>
        <v>-109475</v>
      </c>
      <c r="K21" s="100"/>
      <c r="M21" s="57"/>
    </row>
    <row r="22" spans="3:13" x14ac:dyDescent="0.25">
      <c r="C22" s="102"/>
      <c r="D22" s="103"/>
      <c r="E22" s="103"/>
      <c r="F22" s="103"/>
      <c r="G22" s="103"/>
      <c r="H22" s="103"/>
      <c r="I22" s="103"/>
      <c r="J22" s="103"/>
      <c r="K22" s="103"/>
      <c r="M22" s="57"/>
    </row>
    <row r="23" spans="3:13" x14ac:dyDescent="0.25">
      <c r="C23" s="54" t="s">
        <v>98</v>
      </c>
      <c r="D23" s="55" t="s">
        <v>75</v>
      </c>
      <c r="E23" s="18" t="s">
        <v>76</v>
      </c>
      <c r="F23" s="100">
        <f>F14+F21</f>
        <v>5879577.5</v>
      </c>
      <c r="G23" s="100"/>
      <c r="H23" s="100">
        <f>H14+H21</f>
        <v>3901472.5</v>
      </c>
      <c r="I23" s="100"/>
      <c r="J23" s="100">
        <f>J14+J21</f>
        <v>4890525</v>
      </c>
      <c r="K23" s="100"/>
      <c r="M23" s="57"/>
    </row>
    <row r="24" spans="3:13" ht="45" x14ac:dyDescent="0.25">
      <c r="C24" s="54" t="s">
        <v>99</v>
      </c>
      <c r="D24" s="55" t="s">
        <v>78</v>
      </c>
      <c r="E24" s="18"/>
      <c r="F24" s="100">
        <f>F12</f>
        <v>5000000</v>
      </c>
      <c r="G24" s="100"/>
      <c r="H24" s="100">
        <f>H12</f>
        <v>5000000</v>
      </c>
      <c r="I24" s="100"/>
      <c r="J24" s="100">
        <f>J12</f>
        <v>5000000</v>
      </c>
      <c r="K24" s="100"/>
      <c r="M24" s="57"/>
    </row>
    <row r="25" spans="3:13" x14ac:dyDescent="0.25">
      <c r="C25" s="74" t="s">
        <v>100</v>
      </c>
      <c r="D25" s="55" t="s">
        <v>101</v>
      </c>
      <c r="E25" s="75" t="s">
        <v>102</v>
      </c>
      <c r="F25" s="100">
        <f>(F24*$E$7)</f>
        <v>500000</v>
      </c>
      <c r="G25" s="100"/>
      <c r="H25" s="100">
        <f>(H24*$E$7)</f>
        <v>500000</v>
      </c>
      <c r="I25" s="100"/>
      <c r="J25" s="100">
        <f>(J24*$E$7)</f>
        <v>500000</v>
      </c>
      <c r="K25" s="100"/>
      <c r="M25" s="57"/>
    </row>
    <row r="26" spans="3:13" ht="30" x14ac:dyDescent="0.25">
      <c r="C26" s="54" t="s">
        <v>103</v>
      </c>
      <c r="D26" s="55" t="s">
        <v>104</v>
      </c>
      <c r="E26" s="18" t="s">
        <v>105</v>
      </c>
      <c r="F26" s="100" t="str">
        <f>IF(F23&gt;(F24+F25),("Yes"),("No Pfee"))</f>
        <v>Yes</v>
      </c>
      <c r="G26" s="100"/>
      <c r="H26" s="100" t="str">
        <f>IF(H23&gt;(H24+H25),("Yes"),("No Pfee"))</f>
        <v>No Pfee</v>
      </c>
      <c r="I26" s="100"/>
      <c r="J26" s="100" t="str">
        <f>IF(J23&gt;(J24+J25),("Yes"),("No Pfee"))</f>
        <v>No Pfee</v>
      </c>
      <c r="K26" s="100"/>
      <c r="M26" s="57"/>
    </row>
    <row r="27" spans="3:13" x14ac:dyDescent="0.25">
      <c r="C27" s="123" t="s">
        <v>106</v>
      </c>
      <c r="D27" s="124"/>
      <c r="E27" s="124"/>
      <c r="F27" s="124"/>
      <c r="G27" s="124"/>
      <c r="H27" s="124"/>
      <c r="I27" s="124"/>
      <c r="J27" s="124"/>
      <c r="K27" s="124"/>
      <c r="M27" s="57"/>
    </row>
    <row r="28" spans="3:13" x14ac:dyDescent="0.25">
      <c r="C28" s="54" t="s">
        <v>107</v>
      </c>
      <c r="D28" s="55" t="s">
        <v>108</v>
      </c>
      <c r="E28" s="18" t="s">
        <v>109</v>
      </c>
      <c r="F28" s="100">
        <f>+IF(F26="Yes",(F23-F24-F25),(0))</f>
        <v>379577.5</v>
      </c>
      <c r="G28" s="100"/>
      <c r="H28" s="100">
        <f>+IF(H26="Yes",(H23-H24-H25),(0))</f>
        <v>0</v>
      </c>
      <c r="I28" s="100"/>
      <c r="J28" s="100">
        <f>+IF(J26="Yes",(J23-J24-J25),(0))</f>
        <v>0</v>
      </c>
      <c r="K28" s="100"/>
      <c r="M28" s="57"/>
    </row>
    <row r="29" spans="3:13" x14ac:dyDescent="0.25">
      <c r="C29" s="74" t="s">
        <v>110</v>
      </c>
      <c r="D29" s="55" t="s">
        <v>111</v>
      </c>
      <c r="E29" s="75" t="s">
        <v>112</v>
      </c>
      <c r="F29" s="100">
        <f>+F28*-$E$6</f>
        <v>-56936.625</v>
      </c>
      <c r="G29" s="100"/>
      <c r="H29" s="100">
        <f>+H28*-$E$6</f>
        <v>0</v>
      </c>
      <c r="I29" s="100"/>
      <c r="J29" s="100">
        <f>+J28*-$E$6</f>
        <v>0</v>
      </c>
      <c r="K29" s="100"/>
      <c r="M29" s="57"/>
    </row>
    <row r="30" spans="3:13" x14ac:dyDescent="0.25">
      <c r="C30" s="65"/>
      <c r="D30" s="55"/>
      <c r="E30" s="55"/>
      <c r="F30" s="55"/>
      <c r="G30" s="55"/>
      <c r="H30" s="55"/>
      <c r="I30" s="55"/>
      <c r="J30" s="55"/>
      <c r="K30" s="55"/>
      <c r="M30" s="57"/>
    </row>
    <row r="31" spans="3:13" ht="30" x14ac:dyDescent="0.25">
      <c r="C31" s="54" t="s">
        <v>113</v>
      </c>
      <c r="D31" s="55" t="s">
        <v>114</v>
      </c>
      <c r="E31" s="18" t="s">
        <v>115</v>
      </c>
      <c r="F31" s="100">
        <f>+F23+F29</f>
        <v>5822640.875</v>
      </c>
      <c r="G31" s="100"/>
      <c r="H31" s="100">
        <f>+H23+H29</f>
        <v>3901472.5</v>
      </c>
      <c r="I31" s="100"/>
      <c r="J31" s="100">
        <f>+J23+J29</f>
        <v>4890525</v>
      </c>
      <c r="K31" s="100"/>
      <c r="M31" s="57"/>
    </row>
    <row r="32" spans="3:13" x14ac:dyDescent="0.25">
      <c r="C32" s="54" t="s">
        <v>77</v>
      </c>
      <c r="D32" s="55" t="s">
        <v>116</v>
      </c>
      <c r="E32" s="18" t="s">
        <v>117</v>
      </c>
      <c r="F32" s="95">
        <f>+F31/F12-1</f>
        <v>0.16452817500000005</v>
      </c>
      <c r="G32" s="95"/>
      <c r="H32" s="95">
        <f>+H31/H12-1</f>
        <v>-0.2197055</v>
      </c>
      <c r="I32" s="95"/>
      <c r="J32" s="95">
        <f>+J31/J12-1</f>
        <v>-2.1894999999999998E-2</v>
      </c>
      <c r="K32" s="95"/>
      <c r="M32" s="57"/>
    </row>
    <row r="33" spans="2:13" x14ac:dyDescent="0.25">
      <c r="C33" s="65"/>
      <c r="D33" s="55"/>
      <c r="E33" s="55"/>
      <c r="F33" s="55"/>
      <c r="G33" s="55"/>
      <c r="H33" s="55"/>
      <c r="I33" s="55"/>
      <c r="J33" s="55"/>
      <c r="K33" s="55"/>
      <c r="M33" s="57"/>
    </row>
    <row r="34" spans="2:13" ht="30" x14ac:dyDescent="0.25">
      <c r="C34" s="54" t="s">
        <v>129</v>
      </c>
      <c r="D34" s="55" t="s">
        <v>119</v>
      </c>
      <c r="E34" s="18" t="s">
        <v>120</v>
      </c>
      <c r="F34" s="100">
        <f>+MAX(F24,F31)</f>
        <v>5822640.875</v>
      </c>
      <c r="G34" s="100"/>
      <c r="H34" s="100">
        <f>+MAX(H24,H31)</f>
        <v>5000000</v>
      </c>
      <c r="I34" s="100"/>
      <c r="J34" s="100">
        <f>+MAX(J24,J31)</f>
        <v>5000000</v>
      </c>
      <c r="K34" s="100"/>
      <c r="M34" s="57"/>
    </row>
    <row r="35" spans="2:13" ht="45" x14ac:dyDescent="0.25">
      <c r="C35" s="54" t="s">
        <v>130</v>
      </c>
      <c r="D35" s="55" t="s">
        <v>119</v>
      </c>
      <c r="E35" s="18" t="s">
        <v>122</v>
      </c>
      <c r="F35" s="100">
        <f>+MAX(F23,F24)</f>
        <v>5879577.5</v>
      </c>
      <c r="G35" s="100"/>
      <c r="H35" s="100">
        <f>+MAX(H23,H24)</f>
        <v>5000000</v>
      </c>
      <c r="I35" s="100"/>
      <c r="J35" s="100">
        <f>+MAX(J23,J24)</f>
        <v>5000000</v>
      </c>
      <c r="K35" s="100"/>
      <c r="M35" s="57"/>
    </row>
    <row r="36" spans="2:13" x14ac:dyDescent="0.25">
      <c r="C36" s="54"/>
      <c r="D36" s="55"/>
      <c r="E36" s="18"/>
      <c r="F36" s="66"/>
      <c r="G36" s="66"/>
      <c r="H36" s="66"/>
      <c r="I36" s="66"/>
      <c r="J36" s="66"/>
      <c r="K36" s="66"/>
      <c r="M36" s="57"/>
    </row>
    <row r="37" spans="2:13" ht="15.75" thickBot="1" x14ac:dyDescent="0.3">
      <c r="B37" s="78"/>
      <c r="C37" s="80" t="s">
        <v>80</v>
      </c>
      <c r="D37" s="55"/>
      <c r="E37" s="18"/>
      <c r="F37" s="18"/>
      <c r="G37" s="18"/>
      <c r="H37" s="18"/>
      <c r="I37" s="18"/>
      <c r="J37" s="18"/>
      <c r="K37" s="18"/>
      <c r="L37" s="46"/>
      <c r="M37" s="81"/>
    </row>
    <row r="38" spans="2:13" ht="43.5" customHeight="1" thickBot="1" x14ac:dyDescent="0.3">
      <c r="B38" s="82">
        <v>1</v>
      </c>
      <c r="C38" s="127" t="s">
        <v>81</v>
      </c>
      <c r="D38" s="128"/>
      <c r="E38" s="128"/>
      <c r="F38" s="128"/>
      <c r="G38" s="128"/>
      <c r="H38" s="128"/>
      <c r="I38" s="128"/>
      <c r="J38" s="128"/>
      <c r="K38" s="128"/>
      <c r="L38" s="128"/>
      <c r="M38" s="129"/>
    </row>
    <row r="39" spans="2:13" ht="43.5" customHeight="1" thickBot="1" x14ac:dyDescent="0.3">
      <c r="B39" s="82">
        <f t="shared" ref="B39:B48" si="0">+B38+1</f>
        <v>2</v>
      </c>
      <c r="C39" s="89" t="s">
        <v>82</v>
      </c>
      <c r="D39" s="90"/>
      <c r="E39" s="90"/>
      <c r="F39" s="90"/>
      <c r="G39" s="90"/>
      <c r="H39" s="90"/>
      <c r="I39" s="90"/>
      <c r="J39" s="90"/>
      <c r="K39" s="90"/>
      <c r="L39" s="90"/>
      <c r="M39" s="91"/>
    </row>
    <row r="40" spans="2:13" ht="43.5" customHeight="1" thickBot="1" x14ac:dyDescent="0.3">
      <c r="B40" s="82">
        <f t="shared" si="0"/>
        <v>3</v>
      </c>
      <c r="C40" s="89" t="s">
        <v>83</v>
      </c>
      <c r="D40" s="90"/>
      <c r="E40" s="90"/>
      <c r="F40" s="90"/>
      <c r="G40" s="90"/>
      <c r="H40" s="90"/>
      <c r="I40" s="90"/>
      <c r="J40" s="90"/>
      <c r="K40" s="90"/>
      <c r="L40" s="90"/>
      <c r="M40" s="91"/>
    </row>
    <row r="41" spans="2:13" ht="43.5" customHeight="1" thickBot="1" x14ac:dyDescent="0.3">
      <c r="B41" s="82">
        <f t="shared" si="0"/>
        <v>4</v>
      </c>
      <c r="C41" s="89" t="s">
        <v>84</v>
      </c>
      <c r="D41" s="90"/>
      <c r="E41" s="90"/>
      <c r="F41" s="90"/>
      <c r="G41" s="90"/>
      <c r="H41" s="90"/>
      <c r="I41" s="90"/>
      <c r="J41" s="90"/>
      <c r="K41" s="90"/>
      <c r="L41" s="90"/>
      <c r="M41" s="91"/>
    </row>
    <row r="42" spans="2:13" ht="43.5" customHeight="1" thickBot="1" x14ac:dyDescent="0.3">
      <c r="B42" s="82">
        <f t="shared" si="0"/>
        <v>5</v>
      </c>
      <c r="C42" s="89" t="s">
        <v>85</v>
      </c>
      <c r="D42" s="90"/>
      <c r="E42" s="90"/>
      <c r="F42" s="90"/>
      <c r="G42" s="90"/>
      <c r="H42" s="90"/>
      <c r="I42" s="90"/>
      <c r="J42" s="90"/>
      <c r="K42" s="90"/>
      <c r="L42" s="90"/>
      <c r="M42" s="91"/>
    </row>
    <row r="43" spans="2:13" ht="43.5" customHeight="1" thickBot="1" x14ac:dyDescent="0.3">
      <c r="B43" s="82">
        <f t="shared" si="0"/>
        <v>6</v>
      </c>
      <c r="C43" s="89" t="s">
        <v>86</v>
      </c>
      <c r="D43" s="90"/>
      <c r="E43" s="90"/>
      <c r="F43" s="90"/>
      <c r="G43" s="90"/>
      <c r="H43" s="90"/>
      <c r="I43" s="90"/>
      <c r="J43" s="90"/>
      <c r="K43" s="90"/>
      <c r="L43" s="90"/>
      <c r="M43" s="91"/>
    </row>
    <row r="44" spans="2:13" ht="43.5" customHeight="1" thickBot="1" x14ac:dyDescent="0.3">
      <c r="B44" s="82">
        <f t="shared" si="0"/>
        <v>7</v>
      </c>
      <c r="C44" s="89" t="s">
        <v>131</v>
      </c>
      <c r="D44" s="90"/>
      <c r="E44" s="90"/>
      <c r="F44" s="90"/>
      <c r="G44" s="90"/>
      <c r="H44" s="90"/>
      <c r="I44" s="90"/>
      <c r="J44" s="90"/>
      <c r="K44" s="90"/>
      <c r="L44" s="90"/>
      <c r="M44" s="91"/>
    </row>
    <row r="45" spans="2:13" ht="43.5" customHeight="1" thickBot="1" x14ac:dyDescent="0.3">
      <c r="B45" s="82">
        <f t="shared" si="0"/>
        <v>8</v>
      </c>
      <c r="C45" s="89" t="s">
        <v>132</v>
      </c>
      <c r="D45" s="90"/>
      <c r="E45" s="90"/>
      <c r="F45" s="90"/>
      <c r="G45" s="90"/>
      <c r="H45" s="90"/>
      <c r="I45" s="90"/>
      <c r="J45" s="90"/>
      <c r="K45" s="90"/>
      <c r="L45" s="90"/>
      <c r="M45" s="91"/>
    </row>
    <row r="46" spans="2:13" ht="43.5" customHeight="1" thickBot="1" x14ac:dyDescent="0.3">
      <c r="B46" s="82">
        <f t="shared" si="0"/>
        <v>9</v>
      </c>
      <c r="C46" s="114" t="s">
        <v>127</v>
      </c>
      <c r="D46" s="115"/>
      <c r="E46" s="115"/>
      <c r="F46" s="115"/>
      <c r="G46" s="115"/>
      <c r="H46" s="115"/>
      <c r="I46" s="115"/>
      <c r="J46" s="115"/>
      <c r="K46" s="115"/>
      <c r="L46" s="115"/>
      <c r="M46" s="116"/>
    </row>
    <row r="47" spans="2:13" ht="43.5" customHeight="1" thickBot="1" x14ac:dyDescent="0.3">
      <c r="B47" s="82">
        <f t="shared" si="0"/>
        <v>10</v>
      </c>
      <c r="C47" s="114" t="s">
        <v>128</v>
      </c>
      <c r="D47" s="115"/>
      <c r="E47" s="115"/>
      <c r="F47" s="115"/>
      <c r="G47" s="115"/>
      <c r="H47" s="115"/>
      <c r="I47" s="115"/>
      <c r="J47" s="115"/>
      <c r="K47" s="115"/>
      <c r="L47" s="115"/>
      <c r="M47" s="116"/>
    </row>
    <row r="48" spans="2:13" ht="43.5" customHeight="1" thickBot="1" x14ac:dyDescent="0.3">
      <c r="B48" s="82">
        <f t="shared" si="0"/>
        <v>11</v>
      </c>
      <c r="C48" s="114" t="s">
        <v>87</v>
      </c>
      <c r="D48" s="115"/>
      <c r="E48" s="115"/>
      <c r="F48" s="115"/>
      <c r="G48" s="115"/>
      <c r="H48" s="115"/>
      <c r="I48" s="115"/>
      <c r="J48" s="115"/>
      <c r="K48" s="115"/>
      <c r="L48" s="115"/>
      <c r="M48" s="116"/>
    </row>
    <row r="49" spans="2:13" ht="43.5" customHeight="1" thickBot="1" x14ac:dyDescent="0.3">
      <c r="B49" s="82">
        <v>12</v>
      </c>
      <c r="C49" s="114" t="s">
        <v>88</v>
      </c>
      <c r="D49" s="115"/>
      <c r="E49" s="115"/>
      <c r="F49" s="115"/>
      <c r="G49" s="115"/>
      <c r="H49" s="115"/>
      <c r="I49" s="115"/>
      <c r="J49" s="115"/>
      <c r="K49" s="115"/>
      <c r="L49" s="115"/>
      <c r="M49" s="116"/>
    </row>
  </sheetData>
  <mergeCells count="74">
    <mergeCell ref="C10:E11"/>
    <mergeCell ref="F10:G10"/>
    <mergeCell ref="H10:I10"/>
    <mergeCell ref="J10:K10"/>
    <mergeCell ref="F12:G12"/>
    <mergeCell ref="H12:I12"/>
    <mergeCell ref="J12:K12"/>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F19:G19"/>
    <mergeCell ref="H19:I19"/>
    <mergeCell ref="J19:K19"/>
    <mergeCell ref="F20:G20"/>
    <mergeCell ref="H20:I20"/>
    <mergeCell ref="J20:K20"/>
    <mergeCell ref="F21:G21"/>
    <mergeCell ref="H21:I21"/>
    <mergeCell ref="J21:K21"/>
    <mergeCell ref="C22:K22"/>
    <mergeCell ref="F23:G23"/>
    <mergeCell ref="H23:I23"/>
    <mergeCell ref="J23:K23"/>
    <mergeCell ref="F24:G24"/>
    <mergeCell ref="H24:I24"/>
    <mergeCell ref="J24:K24"/>
    <mergeCell ref="F25:G25"/>
    <mergeCell ref="H25:I25"/>
    <mergeCell ref="J25:K25"/>
    <mergeCell ref="F26:G26"/>
    <mergeCell ref="H26:I26"/>
    <mergeCell ref="J26:K26"/>
    <mergeCell ref="C27:K27"/>
    <mergeCell ref="F28:G28"/>
    <mergeCell ref="H28:I28"/>
    <mergeCell ref="J28:K28"/>
    <mergeCell ref="F29:G29"/>
    <mergeCell ref="H29:I29"/>
    <mergeCell ref="J29:K29"/>
    <mergeCell ref="F31:G31"/>
    <mergeCell ref="H31:I31"/>
    <mergeCell ref="J31:K31"/>
    <mergeCell ref="C40:M40"/>
    <mergeCell ref="F32:G32"/>
    <mergeCell ref="H32:I32"/>
    <mergeCell ref="J32:K32"/>
    <mergeCell ref="F34:G34"/>
    <mergeCell ref="H34:I34"/>
    <mergeCell ref="J34:K34"/>
    <mergeCell ref="F35:G35"/>
    <mergeCell ref="H35:I35"/>
    <mergeCell ref="J35:K35"/>
    <mergeCell ref="C38:M38"/>
    <mergeCell ref="C39:M39"/>
    <mergeCell ref="C47:M47"/>
    <mergeCell ref="C48:M48"/>
    <mergeCell ref="C49:M49"/>
    <mergeCell ref="C41:M41"/>
    <mergeCell ref="C42:M42"/>
    <mergeCell ref="C43:M43"/>
    <mergeCell ref="C44:M44"/>
    <mergeCell ref="C45:M45"/>
    <mergeCell ref="C46:M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Multi Year – Hybrid Fees Model</vt:lpstr>
      <vt:lpstr>1 year Fixed Fee Model</vt:lpstr>
      <vt:lpstr>1 year Variable Fee Model </vt:lpstr>
      <vt:lpstr>1 year Hybrid Fee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Pushkala S - Sundaram Alternates</dc:creator>
  <cp:lastModifiedBy>Pushkala S - Sundaram Alternates</cp:lastModifiedBy>
  <dcterms:created xsi:type="dcterms:W3CDTF">2024-09-27T07:26:22Z</dcterms:created>
  <dcterms:modified xsi:type="dcterms:W3CDTF">2024-10-07T12:49:02Z</dcterms:modified>
</cp:coreProperties>
</file>